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D5D37E8-FD3F-4B7F-BEA1-CF35F7A11F34}" xr6:coauthVersionLast="47" xr6:coauthVersionMax="47" xr10:uidLastSave="{00000000-0000-0000-0000-000000000000}"/>
  <workbookProtection workbookAlgorithmName="SHA-512" workbookHashValue="OVJmevvABEpOWnqzBH16/bsPVhbJRU+8EvIWh9kso7YcR4B1RbyQC7fxf2bTtdvFVfd9B/XBGGm/mMPooiFFUQ==" workbookSaltValue="PCBSIjLuTxapnnXOG95gnA==" workbookSpinCount="100000" lockStructure="1"/>
  <bookViews>
    <workbookView xWindow="885" yWindow="-120" windowWidth="28035" windowHeight="16440" xr2:uid="{00000000-000D-0000-FFFF-FFFF00000000}"/>
  </bookViews>
  <sheets>
    <sheet name="Wallchart" sheetId="9" r:id="rId1"/>
    <sheet name="List of countries by language" sheetId="26" state="hidden" r:id="rId2"/>
    <sheet name="GrpH" sheetId="19" state="hidden" r:id="rId3"/>
    <sheet name="GrpG" sheetId="18" state="hidden" r:id="rId4"/>
    <sheet name="GrpF" sheetId="17" state="hidden" r:id="rId5"/>
    <sheet name="GrpE" sheetId="16" state="hidden" r:id="rId6"/>
    <sheet name="GrpD" sheetId="15" state="hidden" r:id="rId7"/>
    <sheet name="GrpC" sheetId="14" state="hidden" r:id="rId8"/>
    <sheet name="GrpB" sheetId="13" state="hidden" r:id="rId9"/>
    <sheet name="GrpA" sheetId="7" state="hidden" r:id="rId10"/>
    <sheet name="League Format" sheetId="21" state="hidden" r:id="rId11"/>
    <sheet name="Match data" sheetId="1" state="hidden" r:id="rId12"/>
    <sheet name="twitter" sheetId="23" state="hidden" r:id="rId13"/>
    <sheet name="languages" sheetId="25" state="hidden" r:id="rId14"/>
    <sheet name="Comp" sheetId="20" state="hidden" r:id="rId15"/>
    <sheet name="Config" sheetId="2" state="hidden" r:id="rId16"/>
  </sheets>
  <externalReferences>
    <externalReference r:id="rId17"/>
  </externalReferences>
  <definedNames>
    <definedName name="_xlnm._FilterDatabase" localSheetId="13" hidden="1">languages!$A$1:$I$74</definedName>
    <definedName name="_xlnm._FilterDatabase" localSheetId="1" hidden="1">'List of countries by language'!$A$1:$G$43</definedName>
    <definedName name="_xlnm._FilterDatabase" localSheetId="11" hidden="1">'Match data'!$A$1:$O$65</definedName>
    <definedName name="_xlnm._FilterDatabase" localSheetId="0" hidden="1">Wallchart!$B$15:$I$73</definedName>
    <definedName name="cities">[1]options!$B$2:$B$140</definedName>
    <definedName name="Country_Language" localSheetId="13">languages!$B$1:$B$68</definedName>
    <definedName name="Country_Language" localSheetId="1">'List of countries by language'!#REF!</definedName>
    <definedName name="header">[1]dummy!$L$1:$Z$1</definedName>
    <definedName name="header_language" localSheetId="13">languages!$B$1:$I$1</definedName>
    <definedName name="header_language" localSheetId="1">'List of countries by language'!$A$1:$G$1</definedName>
    <definedName name="Language">[1]schedule!$O$3</definedName>
    <definedName name="language_table" localSheetId="13">languages!$B$2:$I$71</definedName>
    <definedName name="language_table" localSheetId="1">'List of countries by language'!$A$2:$G$43</definedName>
    <definedName name="Languages">[1]options!$E$2:$E$33</definedName>
    <definedName name="matches">[1]dummy!$A$2:$B$65</definedName>
    <definedName name="parameter" localSheetId="13">[1]dummy!#REF!</definedName>
    <definedName name="parameter" localSheetId="1">[1]dummy!#REF!</definedName>
    <definedName name="parameter">[1]dummy!#REF!</definedName>
    <definedName name="_xlnm.Print_Area" localSheetId="0">Wallchart!$B$2:$S$94</definedName>
    <definedName name="ranking_table">[1]options!$G$2:$I$33</definedName>
    <definedName name="ShowFlag">INDIRECT("pic"&amp;[1]schedule!$J$56)</definedName>
    <definedName name="sum_rank_01">[1]dummy!$AK$2</definedName>
    <definedName name="sum_rank_02">[1]dummy!$AK$8</definedName>
    <definedName name="sum_rank_03">[1]dummy!$AK$14</definedName>
    <definedName name="sum_rank_04">[1]dummy!$AK$20</definedName>
    <definedName name="sum_rank_05">[1]dummy!$AK$26</definedName>
    <definedName name="sum_rank_06">[1]dummy!$AK$32</definedName>
    <definedName name="sum_rank_07">[1]dummy!$AK$38</definedName>
    <definedName name="sum_rank_08">[1]dummy!$AK$44</definedName>
    <definedName name="time_zones">[1]options!$B$1:$C$140</definedName>
    <definedName name="timezone_number">[1]schedule!$B$3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9" l="1"/>
  <c r="C83" i="9"/>
  <c r="C82" i="9"/>
  <c r="C79" i="9"/>
  <c r="C78" i="9"/>
  <c r="C77" i="9"/>
  <c r="C76" i="9"/>
  <c r="C73" i="9"/>
  <c r="C72" i="9"/>
  <c r="C71" i="9"/>
  <c r="C70" i="9"/>
  <c r="C69" i="9"/>
  <c r="C68" i="9"/>
  <c r="C67" i="9"/>
  <c r="C66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" i="2"/>
  <c r="D17" i="9"/>
  <c r="I17" i="9"/>
  <c r="K14" i="9"/>
  <c r="B91" i="9"/>
  <c r="I17" i="2"/>
  <c r="I18" i="2"/>
  <c r="I19" i="2"/>
  <c r="I20" i="2"/>
  <c r="I21" i="2"/>
  <c r="I22" i="2"/>
  <c r="I23" i="2"/>
  <c r="D3" i="25"/>
  <c r="E3" i="25"/>
  <c r="F3" i="25"/>
  <c r="G3" i="25"/>
  <c r="H3" i="25"/>
  <c r="I3" i="25"/>
  <c r="D4" i="25"/>
  <c r="E4" i="25"/>
  <c r="F4" i="25"/>
  <c r="G4" i="25"/>
  <c r="H4" i="25"/>
  <c r="I4" i="25"/>
  <c r="D5" i="25"/>
  <c r="E5" i="25"/>
  <c r="F5" i="25"/>
  <c r="G5" i="25"/>
  <c r="H5" i="25"/>
  <c r="I5" i="25"/>
  <c r="D6" i="25"/>
  <c r="E6" i="25"/>
  <c r="F6" i="25"/>
  <c r="G6" i="25"/>
  <c r="H6" i="25"/>
  <c r="I6" i="25"/>
  <c r="D7" i="25"/>
  <c r="E7" i="25"/>
  <c r="F7" i="25"/>
  <c r="G7" i="25"/>
  <c r="H7" i="25"/>
  <c r="I7" i="25"/>
  <c r="D8" i="25"/>
  <c r="E8" i="25"/>
  <c r="F8" i="25"/>
  <c r="G8" i="25"/>
  <c r="H8" i="25"/>
  <c r="I8" i="25"/>
  <c r="D9" i="25"/>
  <c r="E9" i="25"/>
  <c r="F9" i="25"/>
  <c r="G9" i="25"/>
  <c r="H9" i="25"/>
  <c r="I9" i="25"/>
  <c r="D10" i="25"/>
  <c r="E10" i="25"/>
  <c r="F10" i="25"/>
  <c r="G10" i="25"/>
  <c r="H10" i="25"/>
  <c r="I10" i="25"/>
  <c r="D11" i="25"/>
  <c r="E11" i="25"/>
  <c r="F11" i="25"/>
  <c r="G11" i="25"/>
  <c r="H11" i="25"/>
  <c r="I11" i="25"/>
  <c r="D12" i="25"/>
  <c r="E12" i="25"/>
  <c r="F12" i="25"/>
  <c r="G12" i="25"/>
  <c r="H12" i="25"/>
  <c r="I12" i="25"/>
  <c r="D13" i="25"/>
  <c r="E13" i="25"/>
  <c r="F13" i="25"/>
  <c r="G13" i="25"/>
  <c r="H13" i="25"/>
  <c r="I13" i="25"/>
  <c r="D14" i="25"/>
  <c r="E14" i="25"/>
  <c r="F14" i="25"/>
  <c r="G14" i="25"/>
  <c r="H14" i="25"/>
  <c r="I14" i="25"/>
  <c r="D15" i="25"/>
  <c r="E15" i="25"/>
  <c r="F15" i="25"/>
  <c r="G15" i="25"/>
  <c r="H15" i="25"/>
  <c r="I15" i="25"/>
  <c r="D16" i="25"/>
  <c r="E16" i="25"/>
  <c r="F16" i="25"/>
  <c r="G16" i="25"/>
  <c r="H16" i="25"/>
  <c r="I16" i="25"/>
  <c r="D17" i="25"/>
  <c r="E17" i="25"/>
  <c r="F17" i="25"/>
  <c r="G17" i="25"/>
  <c r="H17" i="25"/>
  <c r="I17" i="25"/>
  <c r="D18" i="25"/>
  <c r="E18" i="25"/>
  <c r="F18" i="25"/>
  <c r="G18" i="25"/>
  <c r="H18" i="25"/>
  <c r="I18" i="25"/>
  <c r="D19" i="25"/>
  <c r="E19" i="25"/>
  <c r="F19" i="25"/>
  <c r="G19" i="25"/>
  <c r="H19" i="25"/>
  <c r="I19" i="25"/>
  <c r="D20" i="25"/>
  <c r="E20" i="25"/>
  <c r="F20" i="25"/>
  <c r="G20" i="25"/>
  <c r="H20" i="25"/>
  <c r="I20" i="25"/>
  <c r="D21" i="25"/>
  <c r="E21" i="25"/>
  <c r="F21" i="25"/>
  <c r="G21" i="25"/>
  <c r="H21" i="25"/>
  <c r="I21" i="25"/>
  <c r="D22" i="25"/>
  <c r="E22" i="25"/>
  <c r="F22" i="25"/>
  <c r="G22" i="25"/>
  <c r="H22" i="25"/>
  <c r="I22" i="25"/>
  <c r="D23" i="25"/>
  <c r="E23" i="25"/>
  <c r="F23" i="25"/>
  <c r="G23" i="25"/>
  <c r="H23" i="25"/>
  <c r="I23" i="25"/>
  <c r="D24" i="25"/>
  <c r="E24" i="25"/>
  <c r="F24" i="25"/>
  <c r="G24" i="25"/>
  <c r="H24" i="25"/>
  <c r="I24" i="25"/>
  <c r="D25" i="25"/>
  <c r="E25" i="25"/>
  <c r="F25" i="25"/>
  <c r="G25" i="25"/>
  <c r="H25" i="25"/>
  <c r="I25" i="25"/>
  <c r="D26" i="25"/>
  <c r="E26" i="25"/>
  <c r="F26" i="25"/>
  <c r="G26" i="25"/>
  <c r="H26" i="25"/>
  <c r="I26" i="25"/>
  <c r="D27" i="25"/>
  <c r="E27" i="25"/>
  <c r="F27" i="25"/>
  <c r="G27" i="25"/>
  <c r="H27" i="25"/>
  <c r="I27" i="25"/>
  <c r="D28" i="25"/>
  <c r="E28" i="25"/>
  <c r="F28" i="25"/>
  <c r="G28" i="25"/>
  <c r="H28" i="25"/>
  <c r="I28" i="25"/>
  <c r="D29" i="25"/>
  <c r="E29" i="25"/>
  <c r="F29" i="25"/>
  <c r="G29" i="25"/>
  <c r="H29" i="25"/>
  <c r="I29" i="25"/>
  <c r="D30" i="25"/>
  <c r="E30" i="25"/>
  <c r="F30" i="25"/>
  <c r="G30" i="25"/>
  <c r="H30" i="25"/>
  <c r="I30" i="25"/>
  <c r="D31" i="25"/>
  <c r="E31" i="25"/>
  <c r="F31" i="25"/>
  <c r="G31" i="25"/>
  <c r="H31" i="25"/>
  <c r="I31" i="25"/>
  <c r="D32" i="25"/>
  <c r="E32" i="25"/>
  <c r="F32" i="25"/>
  <c r="G32" i="25"/>
  <c r="H32" i="25"/>
  <c r="I32" i="25"/>
  <c r="D33" i="25"/>
  <c r="E33" i="25"/>
  <c r="F33" i="25"/>
  <c r="G33" i="25"/>
  <c r="H33" i="25"/>
  <c r="I33" i="25"/>
  <c r="I2" i="25"/>
  <c r="H2" i="25"/>
  <c r="G2" i="25"/>
  <c r="F2" i="25"/>
  <c r="E2" i="25"/>
  <c r="D2" i="25"/>
  <c r="C77" i="2" l="1"/>
  <c r="B87" i="25"/>
  <c r="B86" i="25"/>
  <c r="B85" i="25"/>
  <c r="B84" i="25"/>
  <c r="B83" i="25"/>
  <c r="B82" i="25"/>
  <c r="B81" i="25"/>
  <c r="I3" i="1" l="1"/>
  <c r="C3" i="2"/>
  <c r="C7" i="2"/>
  <c r="B2" i="9"/>
  <c r="C4" i="2"/>
  <c r="C8" i="2"/>
  <c r="C5" i="2"/>
  <c r="C9" i="2"/>
  <c r="C6" i="2"/>
  <c r="C10" i="2"/>
  <c r="I34" i="1"/>
  <c r="C15" i="9"/>
  <c r="I18" i="1"/>
  <c r="I2" i="1"/>
  <c r="I14" i="1"/>
  <c r="I50" i="1"/>
  <c r="I10" i="1"/>
  <c r="B81" i="9"/>
  <c r="I62" i="1"/>
  <c r="I46" i="1"/>
  <c r="I30" i="1"/>
  <c r="M36" i="9"/>
  <c r="I65" i="9"/>
  <c r="I75" i="9" s="1"/>
  <c r="I58" i="1"/>
  <c r="I42" i="1"/>
  <c r="I26" i="1"/>
  <c r="M60" i="9"/>
  <c r="H15" i="9"/>
  <c r="H65" i="9" s="1"/>
  <c r="H75" i="9" s="1"/>
  <c r="H81" i="9" s="1"/>
  <c r="H85" i="9" s="1"/>
  <c r="H88" i="9" s="1"/>
  <c r="I54" i="1"/>
  <c r="I38" i="1"/>
  <c r="I22" i="1"/>
  <c r="I6" i="1"/>
  <c r="C2" i="2"/>
  <c r="M42" i="9"/>
  <c r="M66" i="9"/>
  <c r="B85" i="9"/>
  <c r="I61" i="1"/>
  <c r="I53" i="1"/>
  <c r="I45" i="1"/>
  <c r="I37" i="1"/>
  <c r="I33" i="1"/>
  <c r="I25" i="1"/>
  <c r="I17" i="1"/>
  <c r="I5" i="1"/>
  <c r="M24" i="9"/>
  <c r="M48" i="9"/>
  <c r="M4" i="9"/>
  <c r="B65" i="9"/>
  <c r="B88" i="9"/>
  <c r="E92" i="9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4" i="1"/>
  <c r="F15" i="9"/>
  <c r="F65" i="9" s="1"/>
  <c r="F75" i="9" s="1"/>
  <c r="F81" i="9" s="1"/>
  <c r="F85" i="9" s="1"/>
  <c r="F88" i="9" s="1"/>
  <c r="E91" i="9"/>
  <c r="I65" i="1"/>
  <c r="I57" i="1"/>
  <c r="I49" i="1"/>
  <c r="I41" i="1"/>
  <c r="I29" i="1"/>
  <c r="I21" i="1"/>
  <c r="I13" i="1"/>
  <c r="I9" i="1"/>
  <c r="M30" i="9"/>
  <c r="M54" i="9"/>
  <c r="M3" i="9"/>
  <c r="B75" i="9"/>
  <c r="B15" i="9"/>
  <c r="E15" i="9"/>
  <c r="E65" i="9" s="1"/>
  <c r="E75" i="9" s="1"/>
  <c r="E81" i="9" s="1"/>
  <c r="E85" i="9" s="1"/>
  <c r="E88" i="9" s="1"/>
  <c r="M2" i="9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C29" i="2"/>
  <c r="C21" i="2"/>
  <c r="C17" i="2"/>
  <c r="C28" i="2"/>
  <c r="C33" i="2"/>
  <c r="C25" i="2"/>
  <c r="C13" i="2"/>
  <c r="C32" i="2"/>
  <c r="C24" i="2"/>
  <c r="C31" i="2"/>
  <c r="C27" i="2"/>
  <c r="C23" i="2"/>
  <c r="C19" i="2"/>
  <c r="C15" i="2"/>
  <c r="C11" i="2"/>
  <c r="C30" i="2"/>
  <c r="C26" i="2"/>
  <c r="C22" i="2"/>
  <c r="C18" i="2"/>
  <c r="C14" i="2"/>
  <c r="C20" i="2"/>
  <c r="C16" i="2"/>
  <c r="C12" i="2"/>
  <c r="I81" i="9" l="1"/>
  <c r="I85" i="9" s="1"/>
  <c r="I88" i="9" s="1"/>
  <c r="H2" i="23" l="1"/>
  <c r="H3" i="23" s="1"/>
  <c r="H4" i="23" s="1"/>
  <c r="H5" i="23" s="1"/>
  <c r="H6" i="23" s="1"/>
  <c r="H7" i="23" s="1"/>
  <c r="H8" i="23" s="1"/>
  <c r="P12" i="23" l="1"/>
  <c r="V13" i="23"/>
  <c r="V14" i="23" s="1"/>
  <c r="V15" i="23" s="1"/>
  <c r="V16" i="23" s="1"/>
  <c r="V17" i="23" s="1"/>
  <c r="V18" i="23" s="1"/>
  <c r="V19" i="23" s="1"/>
  <c r="T13" i="23"/>
  <c r="P13" i="23" s="1"/>
  <c r="D2" i="23"/>
  <c r="D3" i="23" s="1"/>
  <c r="D4" i="23" s="1"/>
  <c r="D5" i="23" s="1"/>
  <c r="D6" i="23" s="1"/>
  <c r="D7" i="23" s="1"/>
  <c r="D8" i="23" s="1"/>
  <c r="T14" i="23" l="1"/>
  <c r="M84" i="9"/>
  <c r="M85" i="9"/>
  <c r="M86" i="9"/>
  <c r="M87" i="9"/>
  <c r="M88" i="9"/>
  <c r="M89" i="9"/>
  <c r="M90" i="9"/>
  <c r="M91" i="9"/>
  <c r="M92" i="9"/>
  <c r="M93" i="9"/>
  <c r="M94" i="9"/>
  <c r="M83" i="9"/>
  <c r="A154" i="2"/>
  <c r="M14" i="9" l="1"/>
  <c r="T15" i="23"/>
  <c r="P14" i="23"/>
  <c r="M21" i="9"/>
  <c r="M16" i="9"/>
  <c r="T16" i="23" l="1"/>
  <c r="P15" i="23"/>
  <c r="N14" i="2"/>
  <c r="N15" i="2" s="1"/>
  <c r="O15" i="2" s="1"/>
  <c r="T17" i="23" l="1"/>
  <c r="P16" i="23"/>
  <c r="O14" i="2"/>
  <c r="O13" i="2" s="1"/>
  <c r="J17" i="2"/>
  <c r="J18" i="2"/>
  <c r="J19" i="2"/>
  <c r="J20" i="2"/>
  <c r="J21" i="2"/>
  <c r="J22" i="2"/>
  <c r="J23" i="2"/>
  <c r="J24" i="2"/>
  <c r="J25" i="2"/>
  <c r="J26" i="2"/>
  <c r="J27" i="2"/>
  <c r="J16" i="2"/>
  <c r="I24" i="2"/>
  <c r="I25" i="2"/>
  <c r="I26" i="2"/>
  <c r="I27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C89" i="9" s="1"/>
  <c r="N2" i="1"/>
  <c r="C16" i="9" s="1"/>
  <c r="E4" i="1" l="1"/>
  <c r="T18" i="23"/>
  <c r="P17" i="23"/>
  <c r="K16" i="2"/>
  <c r="K19" i="2"/>
  <c r="K23" i="2"/>
  <c r="K27" i="2"/>
  <c r="K20" i="2"/>
  <c r="K24" i="2"/>
  <c r="K17" i="2"/>
  <c r="K21" i="2"/>
  <c r="K25" i="2"/>
  <c r="K18" i="2"/>
  <c r="K22" i="2"/>
  <c r="K26" i="2"/>
  <c r="E5" i="1"/>
  <c r="H71" i="20"/>
  <c r="J71" i="20" s="1"/>
  <c r="L71" i="20" s="1"/>
  <c r="N71" i="20" s="1"/>
  <c r="G71" i="20"/>
  <c r="I71" i="20" s="1"/>
  <c r="K71" i="20" s="1"/>
  <c r="F72" i="20"/>
  <c r="B72" i="20"/>
  <c r="B73" i="20" s="1"/>
  <c r="A73" i="20"/>
  <c r="E73" i="20"/>
  <c r="F73" i="20"/>
  <c r="G72" i="20"/>
  <c r="H72" i="20" s="1"/>
  <c r="A67" i="20"/>
  <c r="A68" i="20"/>
  <c r="A69" i="20"/>
  <c r="A66" i="20"/>
  <c r="F64" i="20"/>
  <c r="F65" i="20"/>
  <c r="E65" i="20"/>
  <c r="E64" i="20"/>
  <c r="E63" i="20"/>
  <c r="F63" i="20"/>
  <c r="F62" i="20"/>
  <c r="E62" i="20"/>
  <c r="E59" i="20"/>
  <c r="F59" i="20"/>
  <c r="E60" i="20"/>
  <c r="F60" i="20"/>
  <c r="E61" i="20"/>
  <c r="F61" i="20"/>
  <c r="F58" i="20"/>
  <c r="E58" i="20"/>
  <c r="E51" i="20"/>
  <c r="F51" i="20"/>
  <c r="E52" i="20"/>
  <c r="F52" i="20"/>
  <c r="E53" i="20"/>
  <c r="F53" i="20"/>
  <c r="E54" i="20"/>
  <c r="F54" i="20"/>
  <c r="E55" i="20"/>
  <c r="F55" i="20"/>
  <c r="E56" i="20"/>
  <c r="F56" i="20"/>
  <c r="E57" i="20"/>
  <c r="F57" i="20"/>
  <c r="E50" i="20"/>
  <c r="F50" i="20"/>
  <c r="B3" i="20"/>
  <c r="C3" i="20"/>
  <c r="B4" i="20"/>
  <c r="C4" i="20"/>
  <c r="B5" i="20"/>
  <c r="C5" i="20"/>
  <c r="B6" i="20"/>
  <c r="C6" i="20"/>
  <c r="C7" i="20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52" i="20"/>
  <c r="C52" i="20"/>
  <c r="B53" i="20"/>
  <c r="C53" i="20"/>
  <c r="B54" i="20"/>
  <c r="C54" i="20"/>
  <c r="B55" i="20"/>
  <c r="C55" i="20"/>
  <c r="B56" i="20"/>
  <c r="C56" i="20"/>
  <c r="B57" i="20"/>
  <c r="C57" i="20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C2" i="20"/>
  <c r="B2" i="20"/>
  <c r="F74" i="20"/>
  <c r="E74" i="20"/>
  <c r="B74" i="20"/>
  <c r="C72" i="20" l="1"/>
  <c r="D72" i="20" s="1"/>
  <c r="H73" i="20"/>
  <c r="T19" i="23"/>
  <c r="P19" i="23" s="1"/>
  <c r="P18" i="23"/>
  <c r="E1" i="20"/>
  <c r="E1" i="9" s="1"/>
  <c r="F1" i="20"/>
  <c r="F1" i="9" s="1"/>
  <c r="B1" i="20"/>
  <c r="B1" i="9" s="1"/>
  <c r="I72" i="20"/>
  <c r="C73" i="20"/>
  <c r="P71" i="20"/>
  <c r="M71" i="20"/>
  <c r="K72" i="20"/>
  <c r="K73" i="20" s="1"/>
  <c r="G73" i="20"/>
  <c r="D73" i="20"/>
  <c r="C74" i="20"/>
  <c r="D74" i="20"/>
  <c r="G74" i="20"/>
  <c r="H74" i="20"/>
  <c r="H1" i="20" l="1"/>
  <c r="H1" i="9" s="1"/>
  <c r="D1" i="20"/>
  <c r="D1" i="9" s="1"/>
  <c r="G1" i="20"/>
  <c r="G1" i="9" s="1"/>
  <c r="C1" i="20"/>
  <c r="C1" i="9" s="1"/>
  <c r="J72" i="20"/>
  <c r="J73" i="20" s="1"/>
  <c r="I73" i="20"/>
  <c r="O71" i="20"/>
  <c r="R71" i="20"/>
  <c r="M72" i="20"/>
  <c r="L72" i="20"/>
  <c r="L73" i="20" s="1"/>
  <c r="I74" i="20"/>
  <c r="K74" i="20"/>
  <c r="I1" i="20" l="1"/>
  <c r="I1" i="9" s="1"/>
  <c r="K1" i="20"/>
  <c r="M1" i="9" s="1"/>
  <c r="T71" i="20"/>
  <c r="Q71" i="20"/>
  <c r="N72" i="20"/>
  <c r="N73" i="20" s="1"/>
  <c r="O72" i="20"/>
  <c r="O73" i="20" s="1"/>
  <c r="M73" i="20"/>
  <c r="L74" i="20"/>
  <c r="J74" i="20"/>
  <c r="M74" i="20"/>
  <c r="J1" i="20" l="1"/>
  <c r="J1" i="9" s="1"/>
  <c r="M1" i="20"/>
  <c r="O1" i="9" s="1"/>
  <c r="L1" i="20"/>
  <c r="N1" i="9" s="1"/>
  <c r="S71" i="20"/>
  <c r="Q72" i="20"/>
  <c r="P72" i="20"/>
  <c r="P73" i="20" s="1"/>
  <c r="V71" i="20"/>
  <c r="N74" i="20"/>
  <c r="E10" i="1" l="1"/>
  <c r="N1" i="20"/>
  <c r="P1" i="9" s="1"/>
  <c r="R72" i="20"/>
  <c r="R73" i="20" s="1"/>
  <c r="S72" i="20"/>
  <c r="S73" i="20" s="1"/>
  <c r="U71" i="20"/>
  <c r="X71" i="20"/>
  <c r="Q73" i="20"/>
  <c r="H84" i="2"/>
  <c r="H85" i="2" s="1"/>
  <c r="H59" i="2"/>
  <c r="H60" i="2" s="1"/>
  <c r="R74" i="20"/>
  <c r="P74" i="20"/>
  <c r="Q74" i="20"/>
  <c r="E11" i="1" l="1"/>
  <c r="P1" i="20"/>
  <c r="R1" i="9" s="1"/>
  <c r="R1" i="20"/>
  <c r="T1" i="9" s="1"/>
  <c r="Q1" i="20"/>
  <c r="S1" i="9" s="1"/>
  <c r="W71" i="20"/>
  <c r="Z71" i="20"/>
  <c r="U72" i="20"/>
  <c r="T72" i="20"/>
  <c r="T73" i="20" s="1"/>
  <c r="E8" i="19"/>
  <c r="E7" i="19"/>
  <c r="K7" i="19" s="1"/>
  <c r="F7" i="18"/>
  <c r="N4" i="18" s="1"/>
  <c r="E8" i="16"/>
  <c r="L6" i="16" s="1"/>
  <c r="F8" i="16"/>
  <c r="M5" i="16" s="1"/>
  <c r="F7" i="16"/>
  <c r="N4" i="16" s="1"/>
  <c r="F8" i="17"/>
  <c r="F7" i="17"/>
  <c r="E7" i="17"/>
  <c r="E8" i="14"/>
  <c r="F8" i="14"/>
  <c r="M5" i="14" s="1"/>
  <c r="F7" i="14"/>
  <c r="E8" i="15"/>
  <c r="L6" i="15" s="1"/>
  <c r="F8" i="15"/>
  <c r="M5" i="15" s="1"/>
  <c r="F7" i="15"/>
  <c r="N4" i="15" s="1"/>
  <c r="E5" i="19"/>
  <c r="E6" i="18"/>
  <c r="F6" i="18"/>
  <c r="L7" i="18" s="1"/>
  <c r="E6" i="19"/>
  <c r="N5" i="19" s="1"/>
  <c r="F6" i="19"/>
  <c r="E6" i="17"/>
  <c r="F5" i="18"/>
  <c r="K6" i="18" s="1"/>
  <c r="E5" i="18"/>
  <c r="M4" i="18" s="1"/>
  <c r="E6" i="16"/>
  <c r="F6" i="16"/>
  <c r="F5" i="16"/>
  <c r="K6" i="16" s="1"/>
  <c r="E6" i="15"/>
  <c r="N5" i="15" s="1"/>
  <c r="F6" i="15"/>
  <c r="F6" i="14"/>
  <c r="F5" i="15"/>
  <c r="K6" i="15" s="1"/>
  <c r="E5" i="15"/>
  <c r="M4" i="15" s="1"/>
  <c r="F5" i="14"/>
  <c r="E5" i="14"/>
  <c r="M4" i="14" s="1"/>
  <c r="F4" i="19"/>
  <c r="F3" i="19"/>
  <c r="K5" i="19" s="1"/>
  <c r="E3" i="19"/>
  <c r="E4" i="18"/>
  <c r="F4" i="17"/>
  <c r="E4" i="17"/>
  <c r="N6" i="17" s="1"/>
  <c r="F3" i="18"/>
  <c r="K5" i="18" s="1"/>
  <c r="E3" i="18"/>
  <c r="F3" i="17"/>
  <c r="E3" i="17"/>
  <c r="E4" i="16"/>
  <c r="F3" i="16"/>
  <c r="K5" i="16" s="1"/>
  <c r="F4" i="15"/>
  <c r="E4" i="15"/>
  <c r="F4" i="14"/>
  <c r="E4" i="14"/>
  <c r="F3" i="14"/>
  <c r="P2" i="9"/>
  <c r="F8" i="18"/>
  <c r="I15" i="19"/>
  <c r="I14" i="19"/>
  <c r="I13" i="19"/>
  <c r="I12" i="19"/>
  <c r="I15" i="18"/>
  <c r="I14" i="18"/>
  <c r="I13" i="18"/>
  <c r="I12" i="18"/>
  <c r="I15" i="17"/>
  <c r="I14" i="17"/>
  <c r="I13" i="17"/>
  <c r="I12" i="17"/>
  <c r="I15" i="16"/>
  <c r="I14" i="16"/>
  <c r="I13" i="16"/>
  <c r="I12" i="16"/>
  <c r="I15" i="15"/>
  <c r="I14" i="15"/>
  <c r="I13" i="15"/>
  <c r="I12" i="15"/>
  <c r="I15" i="14"/>
  <c r="I14" i="14"/>
  <c r="I13" i="14"/>
  <c r="I12" i="14"/>
  <c r="E1" i="19"/>
  <c r="S3" i="19" s="1"/>
  <c r="D1" i="19"/>
  <c r="R17" i="19" s="1"/>
  <c r="C1" i="19"/>
  <c r="Q17" i="19" s="1"/>
  <c r="B1" i="19"/>
  <c r="D7" i="19" s="1"/>
  <c r="E1" i="18"/>
  <c r="S3" i="18" s="1"/>
  <c r="D1" i="18"/>
  <c r="C1" i="18"/>
  <c r="J12" i="18" s="1"/>
  <c r="B1" i="18"/>
  <c r="K10" i="18" s="1"/>
  <c r="E1" i="17"/>
  <c r="D1" i="17"/>
  <c r="J20" i="17" s="1"/>
  <c r="C1" i="17"/>
  <c r="Q17" i="17" s="1"/>
  <c r="B1" i="17"/>
  <c r="J18" i="17" s="1"/>
  <c r="E1" i="16"/>
  <c r="S17" i="16" s="1"/>
  <c r="D1" i="16"/>
  <c r="M10" i="16" s="1"/>
  <c r="C1" i="16"/>
  <c r="D8" i="16" s="1"/>
  <c r="B1" i="16"/>
  <c r="E1" i="15"/>
  <c r="S17" i="15" s="1"/>
  <c r="D1" i="15"/>
  <c r="M3" i="15" s="1"/>
  <c r="C1" i="15"/>
  <c r="L3" i="15" s="1"/>
  <c r="B1" i="15"/>
  <c r="K10" i="15" s="1"/>
  <c r="E1" i="14"/>
  <c r="S10" i="14" s="1"/>
  <c r="D1" i="14"/>
  <c r="C1" i="14"/>
  <c r="B1" i="14"/>
  <c r="D7" i="14" s="1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I15" i="13"/>
  <c r="I14" i="13"/>
  <c r="I13" i="13"/>
  <c r="I12" i="13"/>
  <c r="S74" i="20"/>
  <c r="T74" i="20"/>
  <c r="P5" i="9" l="1"/>
  <c r="G54" i="2"/>
  <c r="G55" i="2" s="1"/>
  <c r="K3" i="17"/>
  <c r="B3" i="14"/>
  <c r="P17" i="17"/>
  <c r="E12" i="1"/>
  <c r="S1" i="20"/>
  <c r="T1" i="20"/>
  <c r="AB71" i="20"/>
  <c r="Y71" i="20"/>
  <c r="V72" i="20"/>
  <c r="V73" i="20" s="1"/>
  <c r="W72" i="20"/>
  <c r="W73" i="20" s="1"/>
  <c r="U73" i="20"/>
  <c r="J12" i="19"/>
  <c r="L3" i="19"/>
  <c r="J12" i="17"/>
  <c r="Q10" i="17"/>
  <c r="L3" i="17"/>
  <c r="D8" i="17"/>
  <c r="Q17" i="15"/>
  <c r="Q3" i="19"/>
  <c r="D6" i="18"/>
  <c r="D7" i="18"/>
  <c r="J11" i="18"/>
  <c r="J19" i="17"/>
  <c r="Q3" i="17"/>
  <c r="L17" i="17"/>
  <c r="A27" i="17"/>
  <c r="L10" i="17"/>
  <c r="L3" i="16"/>
  <c r="Q3" i="16"/>
  <c r="N17" i="15"/>
  <c r="N10" i="15"/>
  <c r="D8" i="15"/>
  <c r="Q3" i="15"/>
  <c r="J4" i="18"/>
  <c r="B8" i="17"/>
  <c r="P10" i="18"/>
  <c r="M3" i="16"/>
  <c r="R17" i="17"/>
  <c r="B4" i="17"/>
  <c r="R10" i="17"/>
  <c r="A28" i="17"/>
  <c r="D5" i="17"/>
  <c r="J13" i="17"/>
  <c r="M10" i="19"/>
  <c r="J6" i="17"/>
  <c r="M10" i="17"/>
  <c r="J13" i="19"/>
  <c r="I8" i="14"/>
  <c r="I8" i="19"/>
  <c r="F8" i="19"/>
  <c r="M5" i="19" s="1"/>
  <c r="I4" i="16"/>
  <c r="I4" i="18"/>
  <c r="I6" i="15"/>
  <c r="I5" i="18"/>
  <c r="I5" i="19"/>
  <c r="I8" i="17"/>
  <c r="I8" i="18"/>
  <c r="I6" i="16"/>
  <c r="I4" i="15"/>
  <c r="F3" i="15"/>
  <c r="K5" i="15" s="1"/>
  <c r="I3" i="18"/>
  <c r="G6" i="16"/>
  <c r="N5" i="16"/>
  <c r="F5" i="19"/>
  <c r="K6" i="19" s="1"/>
  <c r="I6" i="19"/>
  <c r="I8" i="15"/>
  <c r="F4" i="16"/>
  <c r="G4" i="16" s="1"/>
  <c r="E8" i="17"/>
  <c r="L6" i="17" s="1"/>
  <c r="E8" i="18"/>
  <c r="L6" i="18" s="1"/>
  <c r="I5" i="15"/>
  <c r="I8" i="16"/>
  <c r="F4" i="18"/>
  <c r="G4" i="18" s="1"/>
  <c r="H4" i="15"/>
  <c r="G3" i="18"/>
  <c r="I3" i="19"/>
  <c r="G8" i="14"/>
  <c r="H4" i="14"/>
  <c r="H3" i="17"/>
  <c r="H5" i="14"/>
  <c r="I6" i="14"/>
  <c r="I5" i="17"/>
  <c r="I6" i="18"/>
  <c r="H7" i="17"/>
  <c r="I7" i="19"/>
  <c r="H8" i="15"/>
  <c r="H8" i="14"/>
  <c r="H4" i="16"/>
  <c r="G6" i="18"/>
  <c r="F7" i="19"/>
  <c r="N4" i="19" s="1"/>
  <c r="K14" i="19" s="1"/>
  <c r="K21" i="19" s="1"/>
  <c r="H5" i="15"/>
  <c r="G6" i="15"/>
  <c r="F5" i="17"/>
  <c r="K6" i="17" s="1"/>
  <c r="I3" i="16"/>
  <c r="G4" i="17"/>
  <c r="I4" i="19"/>
  <c r="I5" i="14"/>
  <c r="I6" i="17"/>
  <c r="H6" i="18"/>
  <c r="I7" i="14"/>
  <c r="I7" i="16"/>
  <c r="I7" i="18"/>
  <c r="H3" i="19"/>
  <c r="I4" i="14"/>
  <c r="H6" i="16"/>
  <c r="H3" i="18"/>
  <c r="E6" i="14"/>
  <c r="N5" i="14" s="1"/>
  <c r="G4" i="15"/>
  <c r="H6" i="15"/>
  <c r="G3" i="17"/>
  <c r="L7" i="14"/>
  <c r="K7" i="17"/>
  <c r="G7" i="17"/>
  <c r="H4" i="17"/>
  <c r="N4" i="14"/>
  <c r="E4" i="19"/>
  <c r="I3" i="14"/>
  <c r="G5" i="14"/>
  <c r="G5" i="15"/>
  <c r="I7" i="15"/>
  <c r="E3" i="16"/>
  <c r="H3" i="16" s="1"/>
  <c r="E7" i="16"/>
  <c r="H7" i="16" s="1"/>
  <c r="I5" i="16"/>
  <c r="H8" i="16"/>
  <c r="E5" i="17"/>
  <c r="M4" i="17" s="1"/>
  <c r="I4" i="17"/>
  <c r="K13" i="18"/>
  <c r="K20" i="18" s="1"/>
  <c r="H5" i="18"/>
  <c r="E3" i="14"/>
  <c r="H3" i="14" s="1"/>
  <c r="E7" i="14"/>
  <c r="K7" i="14" s="1"/>
  <c r="G4" i="14"/>
  <c r="G8" i="15"/>
  <c r="F6" i="17"/>
  <c r="G6" i="17" s="1"/>
  <c r="I3" i="17"/>
  <c r="I7" i="17"/>
  <c r="E7" i="18"/>
  <c r="G8" i="16"/>
  <c r="E7" i="15"/>
  <c r="H7" i="15" s="1"/>
  <c r="E5" i="16"/>
  <c r="M4" i="16" s="1"/>
  <c r="M11" i="16" s="1"/>
  <c r="M18" i="16" s="1"/>
  <c r="R10" i="19"/>
  <c r="N10" i="16"/>
  <c r="P3" i="17"/>
  <c r="A26" i="17"/>
  <c r="N17" i="18"/>
  <c r="N17" i="16"/>
  <c r="K17" i="17"/>
  <c r="B5" i="18"/>
  <c r="G5" i="18"/>
  <c r="M11" i="18"/>
  <c r="M18" i="18" s="1"/>
  <c r="C28" i="16"/>
  <c r="I28" i="16" s="1"/>
  <c r="M12" i="16"/>
  <c r="M19" i="16" s="1"/>
  <c r="M11" i="15"/>
  <c r="M18" i="15" s="1"/>
  <c r="L13" i="15"/>
  <c r="L20" i="15" s="1"/>
  <c r="M12" i="15"/>
  <c r="M19" i="15" s="1"/>
  <c r="G3" i="19"/>
  <c r="G6" i="19"/>
  <c r="H6" i="19"/>
  <c r="D29" i="18"/>
  <c r="N5" i="18"/>
  <c r="N12" i="18" s="1"/>
  <c r="N19" i="18" s="1"/>
  <c r="L4" i="17"/>
  <c r="L7" i="19"/>
  <c r="N12" i="19" s="1"/>
  <c r="N19" i="19" s="1"/>
  <c r="L13" i="16"/>
  <c r="L20" i="16" s="1"/>
  <c r="M5" i="17"/>
  <c r="C27" i="18"/>
  <c r="I27" i="18" s="1"/>
  <c r="L6" i="19"/>
  <c r="C29" i="19"/>
  <c r="I29" i="19" s="1"/>
  <c r="M4" i="19"/>
  <c r="J6" i="19"/>
  <c r="D8" i="19"/>
  <c r="L17" i="19"/>
  <c r="N3" i="19"/>
  <c r="D4" i="19"/>
  <c r="B7" i="19"/>
  <c r="S10" i="19"/>
  <c r="S10" i="18"/>
  <c r="N3" i="18"/>
  <c r="S17" i="18"/>
  <c r="Q17" i="16"/>
  <c r="N3" i="16"/>
  <c r="A29" i="16"/>
  <c r="S3" i="16"/>
  <c r="D6" i="16"/>
  <c r="S10" i="16"/>
  <c r="D4" i="16"/>
  <c r="B7" i="16"/>
  <c r="A29" i="15"/>
  <c r="S3" i="15"/>
  <c r="N3" i="15"/>
  <c r="M10" i="15"/>
  <c r="D6" i="15"/>
  <c r="S10" i="15"/>
  <c r="D4" i="15"/>
  <c r="B7" i="15"/>
  <c r="N10" i="14"/>
  <c r="B7" i="14"/>
  <c r="B3" i="19"/>
  <c r="J4" i="19"/>
  <c r="B5" i="19"/>
  <c r="D6" i="19"/>
  <c r="M7" i="19"/>
  <c r="K10" i="19"/>
  <c r="P10" i="19"/>
  <c r="J11" i="19"/>
  <c r="N17" i="19"/>
  <c r="S17" i="19"/>
  <c r="D27" i="19"/>
  <c r="K3" i="19"/>
  <c r="P3" i="19"/>
  <c r="B4" i="19"/>
  <c r="L4" i="19"/>
  <c r="L11" i="19" s="1"/>
  <c r="L18" i="19" s="1"/>
  <c r="D5" i="19"/>
  <c r="J7" i="19"/>
  <c r="B8" i="19"/>
  <c r="L10" i="19"/>
  <c r="Q10" i="19"/>
  <c r="J14" i="19"/>
  <c r="K17" i="19"/>
  <c r="P17" i="19"/>
  <c r="J18" i="19"/>
  <c r="J19" i="19"/>
  <c r="J20" i="19"/>
  <c r="J21" i="19"/>
  <c r="A26" i="19"/>
  <c r="A27" i="19"/>
  <c r="A28" i="19"/>
  <c r="A29" i="19"/>
  <c r="D3" i="19"/>
  <c r="M3" i="19"/>
  <c r="R3" i="19"/>
  <c r="J5" i="19"/>
  <c r="B6" i="19"/>
  <c r="N10" i="19"/>
  <c r="M17" i="19"/>
  <c r="R17" i="18"/>
  <c r="M17" i="18"/>
  <c r="R3" i="18"/>
  <c r="M3" i="18"/>
  <c r="J13" i="18"/>
  <c r="R10" i="18"/>
  <c r="M10" i="18"/>
  <c r="J6" i="18"/>
  <c r="A28" i="18"/>
  <c r="J20" i="18"/>
  <c r="B8" i="18"/>
  <c r="D5" i="18"/>
  <c r="B4" i="18"/>
  <c r="C26" i="18"/>
  <c r="L4" i="18"/>
  <c r="L11" i="18" s="1"/>
  <c r="L18" i="18" s="1"/>
  <c r="K3" i="18"/>
  <c r="P3" i="18"/>
  <c r="M5" i="18"/>
  <c r="N6" i="18"/>
  <c r="J7" i="18"/>
  <c r="L10" i="18"/>
  <c r="Q10" i="18"/>
  <c r="J14" i="18"/>
  <c r="K17" i="18"/>
  <c r="P17" i="18"/>
  <c r="J18" i="18"/>
  <c r="J19" i="18"/>
  <c r="J21" i="18"/>
  <c r="A26" i="18"/>
  <c r="A27" i="18"/>
  <c r="A29" i="18"/>
  <c r="B3" i="18"/>
  <c r="L3" i="18"/>
  <c r="Q3" i="18"/>
  <c r="D4" i="18"/>
  <c r="B7" i="18"/>
  <c r="D8" i="18"/>
  <c r="L17" i="18"/>
  <c r="Q17" i="18"/>
  <c r="D3" i="18"/>
  <c r="J5" i="18"/>
  <c r="B6" i="18"/>
  <c r="N10" i="18"/>
  <c r="S10" i="17"/>
  <c r="N10" i="17"/>
  <c r="S17" i="17"/>
  <c r="N17" i="17"/>
  <c r="D6" i="17"/>
  <c r="S3" i="17"/>
  <c r="N3" i="17"/>
  <c r="B7" i="17"/>
  <c r="C27" i="17"/>
  <c r="K5" i="17"/>
  <c r="D4" i="17"/>
  <c r="N5" i="17"/>
  <c r="J7" i="17"/>
  <c r="N4" i="17"/>
  <c r="J21" i="17"/>
  <c r="A29" i="17"/>
  <c r="D7" i="17"/>
  <c r="J11" i="17"/>
  <c r="P10" i="17"/>
  <c r="K10" i="17"/>
  <c r="B5" i="17"/>
  <c r="J4" i="17"/>
  <c r="B3" i="17"/>
  <c r="J14" i="17"/>
  <c r="M7" i="17"/>
  <c r="D29" i="17"/>
  <c r="D3" i="17"/>
  <c r="M3" i="17"/>
  <c r="R3" i="17"/>
  <c r="J5" i="17"/>
  <c r="B6" i="17"/>
  <c r="M17" i="17"/>
  <c r="D7" i="16"/>
  <c r="A26" i="16"/>
  <c r="J18" i="16"/>
  <c r="P17" i="16"/>
  <c r="K17" i="16"/>
  <c r="P3" i="16"/>
  <c r="K3" i="16"/>
  <c r="B3" i="16"/>
  <c r="R17" i="16"/>
  <c r="M17" i="16"/>
  <c r="A28" i="16"/>
  <c r="J20" i="16"/>
  <c r="B8" i="16"/>
  <c r="D5" i="16"/>
  <c r="B4" i="16"/>
  <c r="J4" i="16"/>
  <c r="L7" i="16"/>
  <c r="P10" i="16"/>
  <c r="L17" i="16"/>
  <c r="C27" i="16"/>
  <c r="R3" i="16"/>
  <c r="B5" i="16"/>
  <c r="K10" i="16"/>
  <c r="R10" i="16"/>
  <c r="J12" i="16"/>
  <c r="B6" i="16"/>
  <c r="J5" i="16"/>
  <c r="A27" i="16"/>
  <c r="J19" i="16"/>
  <c r="Q10" i="16"/>
  <c r="L10" i="16"/>
  <c r="D3" i="16"/>
  <c r="J6" i="16"/>
  <c r="J11" i="16"/>
  <c r="J13" i="16"/>
  <c r="D29" i="16"/>
  <c r="N6" i="16"/>
  <c r="J7" i="16"/>
  <c r="J14" i="16"/>
  <c r="J21" i="16"/>
  <c r="R17" i="15"/>
  <c r="M17" i="15"/>
  <c r="A28" i="15"/>
  <c r="J20" i="15"/>
  <c r="B8" i="15"/>
  <c r="D5" i="15"/>
  <c r="B4" i="15"/>
  <c r="C28" i="15"/>
  <c r="N6" i="15"/>
  <c r="D29" i="15"/>
  <c r="J4" i="15"/>
  <c r="L7" i="15"/>
  <c r="P10" i="15"/>
  <c r="L17" i="15"/>
  <c r="R3" i="15"/>
  <c r="D28" i="15"/>
  <c r="B5" i="15"/>
  <c r="M7" i="15"/>
  <c r="R10" i="15"/>
  <c r="D7" i="15"/>
  <c r="A26" i="15"/>
  <c r="J18" i="15"/>
  <c r="P17" i="15"/>
  <c r="K17" i="15"/>
  <c r="P3" i="15"/>
  <c r="K3" i="15"/>
  <c r="B3" i="15"/>
  <c r="J12" i="15"/>
  <c r="B6" i="15"/>
  <c r="J5" i="15"/>
  <c r="A27" i="15"/>
  <c r="J19" i="15"/>
  <c r="Q10" i="15"/>
  <c r="L10" i="15"/>
  <c r="D3" i="15"/>
  <c r="K13" i="15"/>
  <c r="K20" i="15" s="1"/>
  <c r="J6" i="15"/>
  <c r="J11" i="15"/>
  <c r="J13" i="15"/>
  <c r="J7" i="15"/>
  <c r="J14" i="15"/>
  <c r="J21" i="15"/>
  <c r="Q17" i="14"/>
  <c r="L17" i="14"/>
  <c r="D8" i="14"/>
  <c r="Q3" i="14"/>
  <c r="L3" i="14"/>
  <c r="B6" i="14"/>
  <c r="J5" i="14"/>
  <c r="A27" i="14"/>
  <c r="J19" i="14"/>
  <c r="Q10" i="14"/>
  <c r="L10" i="14"/>
  <c r="J12" i="14"/>
  <c r="N6" i="14"/>
  <c r="C28" i="14"/>
  <c r="D3" i="14"/>
  <c r="K6" i="14"/>
  <c r="K13" i="14" s="1"/>
  <c r="K20" i="14" s="1"/>
  <c r="N3" i="14"/>
  <c r="S3" i="14"/>
  <c r="J4" i="14"/>
  <c r="B5" i="14"/>
  <c r="K5" i="14"/>
  <c r="D6" i="14"/>
  <c r="L6" i="14"/>
  <c r="L13" i="14" s="1"/>
  <c r="L20" i="14" s="1"/>
  <c r="M7" i="14"/>
  <c r="K10" i="14"/>
  <c r="P10" i="14"/>
  <c r="J11" i="14"/>
  <c r="N17" i="14"/>
  <c r="S17" i="14"/>
  <c r="D28" i="14"/>
  <c r="K3" i="14"/>
  <c r="P3" i="14"/>
  <c r="J7" i="14"/>
  <c r="J14" i="14"/>
  <c r="K17" i="14"/>
  <c r="P17" i="14"/>
  <c r="J18" i="14"/>
  <c r="J21" i="14"/>
  <c r="A26" i="14"/>
  <c r="A29" i="14"/>
  <c r="D4" i="14"/>
  <c r="I15" i="7"/>
  <c r="I14" i="7"/>
  <c r="I13" i="7"/>
  <c r="I12" i="7"/>
  <c r="U74" i="20"/>
  <c r="V74" i="20"/>
  <c r="G56" i="2" l="1"/>
  <c r="G57" i="2" s="1"/>
  <c r="U1" i="20"/>
  <c r="V1" i="20"/>
  <c r="AA71" i="20"/>
  <c r="Y72" i="20"/>
  <c r="X72" i="20"/>
  <c r="X73" i="20" s="1"/>
  <c r="AD71" i="20"/>
  <c r="M7" i="16"/>
  <c r="N13" i="16" s="1"/>
  <c r="N20" i="16" s="1"/>
  <c r="B28" i="16"/>
  <c r="B28" i="19"/>
  <c r="B26" i="19"/>
  <c r="B27" i="16"/>
  <c r="L14" i="19"/>
  <c r="L21" i="19" s="1"/>
  <c r="C27" i="19"/>
  <c r="I27" i="19" s="1"/>
  <c r="B28" i="18"/>
  <c r="G8" i="19"/>
  <c r="H8" i="19"/>
  <c r="F27" i="19" s="1"/>
  <c r="B29" i="15"/>
  <c r="D28" i="19"/>
  <c r="L13" i="19"/>
  <c r="L20" i="19" s="1"/>
  <c r="B28" i="15"/>
  <c r="B29" i="16"/>
  <c r="L4" i="14"/>
  <c r="L11" i="14" s="1"/>
  <c r="L18" i="14" s="1"/>
  <c r="D27" i="14"/>
  <c r="C27" i="15"/>
  <c r="I27" i="15" s="1"/>
  <c r="K13" i="16"/>
  <c r="K20" i="16" s="1"/>
  <c r="C29" i="18"/>
  <c r="I29" i="18" s="1"/>
  <c r="B27" i="14"/>
  <c r="B26" i="18"/>
  <c r="L4" i="16"/>
  <c r="L11" i="16" s="1"/>
  <c r="L18" i="16" s="1"/>
  <c r="G8" i="17"/>
  <c r="B29" i="17"/>
  <c r="G7" i="19"/>
  <c r="M11" i="17"/>
  <c r="M18" i="17" s="1"/>
  <c r="D28" i="16"/>
  <c r="E28" i="16" s="1"/>
  <c r="G28" i="16" s="1"/>
  <c r="D28" i="18"/>
  <c r="D26" i="19"/>
  <c r="M11" i="19"/>
  <c r="M18" i="19" s="1"/>
  <c r="G5" i="19"/>
  <c r="H8" i="17"/>
  <c r="F27" i="17" s="1"/>
  <c r="K13" i="17"/>
  <c r="K20" i="17" s="1"/>
  <c r="H4" i="18"/>
  <c r="B29" i="18"/>
  <c r="N11" i="17"/>
  <c r="N18" i="17" s="1"/>
  <c r="H5" i="19"/>
  <c r="B27" i="17"/>
  <c r="C28" i="19"/>
  <c r="I28" i="19" s="1"/>
  <c r="M7" i="18"/>
  <c r="M14" i="18" s="1"/>
  <c r="M21" i="18" s="1"/>
  <c r="B27" i="19"/>
  <c r="C26" i="16"/>
  <c r="I26" i="16" s="1"/>
  <c r="N11" i="19"/>
  <c r="N18" i="19" s="1"/>
  <c r="H7" i="19"/>
  <c r="K14" i="14"/>
  <c r="K21" i="14" s="1"/>
  <c r="B28" i="14"/>
  <c r="B26" i="14"/>
  <c r="B28" i="17"/>
  <c r="C29" i="15"/>
  <c r="E29" i="15" s="1"/>
  <c r="G29" i="15" s="1"/>
  <c r="D26" i="17"/>
  <c r="C28" i="18"/>
  <c r="I28" i="18" s="1"/>
  <c r="G8" i="18"/>
  <c r="F28" i="18" s="1"/>
  <c r="D27" i="16"/>
  <c r="E27" i="16" s="1"/>
  <c r="G27" i="16" s="1"/>
  <c r="M12" i="18"/>
  <c r="M19" i="18" s="1"/>
  <c r="D27" i="18"/>
  <c r="E27" i="18" s="1"/>
  <c r="G27" i="18" s="1"/>
  <c r="B27" i="18"/>
  <c r="C26" i="19"/>
  <c r="I26" i="19" s="1"/>
  <c r="C28" i="17"/>
  <c r="I28" i="17" s="1"/>
  <c r="H8" i="18"/>
  <c r="F27" i="18" s="1"/>
  <c r="D29" i="14"/>
  <c r="C27" i="14"/>
  <c r="I27" i="14" s="1"/>
  <c r="H6" i="14"/>
  <c r="L14" i="14"/>
  <c r="L21" i="14" s="1"/>
  <c r="B26" i="16"/>
  <c r="D29" i="19"/>
  <c r="E29" i="19" s="1"/>
  <c r="G29" i="19" s="1"/>
  <c r="C26" i="14"/>
  <c r="I26" i="14" s="1"/>
  <c r="G3" i="16"/>
  <c r="G6" i="14"/>
  <c r="F27" i="14" s="1"/>
  <c r="G7" i="14"/>
  <c r="C29" i="16"/>
  <c r="I29" i="16" s="1"/>
  <c r="B26" i="17"/>
  <c r="B29" i="14"/>
  <c r="N12" i="14"/>
  <c r="N19" i="14" s="1"/>
  <c r="G7" i="16"/>
  <c r="F29" i="16" s="1"/>
  <c r="D26" i="16"/>
  <c r="M12" i="17"/>
  <c r="M19" i="17" s="1"/>
  <c r="C29" i="14"/>
  <c r="I29" i="14" s="1"/>
  <c r="N11" i="14"/>
  <c r="N18" i="14" s="1"/>
  <c r="K7" i="16"/>
  <c r="K14" i="16" s="1"/>
  <c r="K21" i="16" s="1"/>
  <c r="B29" i="19"/>
  <c r="G5" i="17"/>
  <c r="F26" i="17" s="1"/>
  <c r="D26" i="14"/>
  <c r="D27" i="17"/>
  <c r="E27" i="17" s="1"/>
  <c r="G27" i="17" s="1"/>
  <c r="L13" i="17"/>
  <c r="L20" i="17" s="1"/>
  <c r="D26" i="18"/>
  <c r="E26" i="18" s="1"/>
  <c r="G26" i="18" s="1"/>
  <c r="G4" i="19"/>
  <c r="H7" i="18"/>
  <c r="F26" i="18" s="1"/>
  <c r="H5" i="16"/>
  <c r="F28" i="16" s="1"/>
  <c r="G7" i="15"/>
  <c r="F29" i="15" s="1"/>
  <c r="H5" i="17"/>
  <c r="K7" i="18"/>
  <c r="K14" i="18" s="1"/>
  <c r="K21" i="18" s="1"/>
  <c r="G7" i="18"/>
  <c r="C29" i="17"/>
  <c r="I29" i="17" s="1"/>
  <c r="G5" i="16"/>
  <c r="C26" i="17"/>
  <c r="D26" i="15"/>
  <c r="K7" i="15"/>
  <c r="D28" i="17"/>
  <c r="L7" i="17"/>
  <c r="N12" i="17" s="1"/>
  <c r="N19" i="17" s="1"/>
  <c r="N6" i="19"/>
  <c r="N13" i="19" s="1"/>
  <c r="N20" i="19" s="1"/>
  <c r="H4" i="19"/>
  <c r="H6" i="17"/>
  <c r="F29" i="17" s="1"/>
  <c r="G3" i="14"/>
  <c r="H7" i="14"/>
  <c r="L13" i="18"/>
  <c r="L20" i="18" s="1"/>
  <c r="N13" i="15"/>
  <c r="N20" i="15" s="1"/>
  <c r="N13" i="14"/>
  <c r="N20" i="14" s="1"/>
  <c r="K14" i="17"/>
  <c r="K21" i="17" s="1"/>
  <c r="L14" i="18"/>
  <c r="L21" i="18" s="1"/>
  <c r="M12" i="19"/>
  <c r="M19" i="19" s="1"/>
  <c r="K13" i="19"/>
  <c r="K20" i="19" s="1"/>
  <c r="K12" i="19"/>
  <c r="K19" i="19" s="1"/>
  <c r="K12" i="18"/>
  <c r="K19" i="18" s="1"/>
  <c r="I26" i="18"/>
  <c r="K12" i="17"/>
  <c r="K19" i="17" s="1"/>
  <c r="L11" i="17"/>
  <c r="L18" i="17" s="1"/>
  <c r="I27" i="17"/>
  <c r="M14" i="17"/>
  <c r="M21" i="17" s="1"/>
  <c r="N13" i="17"/>
  <c r="N20" i="17" s="1"/>
  <c r="L14" i="16"/>
  <c r="L21" i="16" s="1"/>
  <c r="N12" i="16"/>
  <c r="N19" i="16" s="1"/>
  <c r="I27" i="16"/>
  <c r="F27" i="16"/>
  <c r="I28" i="15"/>
  <c r="E28" i="15"/>
  <c r="G28" i="15" s="1"/>
  <c r="M14" i="15"/>
  <c r="M21" i="15" s="1"/>
  <c r="L14" i="15"/>
  <c r="L21" i="15" s="1"/>
  <c r="N12" i="15"/>
  <c r="N19" i="15" s="1"/>
  <c r="F28" i="15"/>
  <c r="M14" i="14"/>
  <c r="M21" i="14" s="1"/>
  <c r="I28" i="14"/>
  <c r="E28" i="14"/>
  <c r="G28" i="14" s="1"/>
  <c r="M12" i="14"/>
  <c r="M19" i="14" s="1"/>
  <c r="F28" i="14"/>
  <c r="M11" i="14"/>
  <c r="M18" i="14" s="1"/>
  <c r="I8" i="13"/>
  <c r="I7" i="13"/>
  <c r="I6" i="13"/>
  <c r="I5" i="13"/>
  <c r="I4" i="13"/>
  <c r="I3" i="13"/>
  <c r="W74" i="20"/>
  <c r="X74" i="20"/>
  <c r="E29" i="18" l="1"/>
  <c r="G29" i="18" s="1"/>
  <c r="X1" i="20"/>
  <c r="W1" i="20"/>
  <c r="Z72" i="20"/>
  <c r="Z73" i="20" s="1"/>
  <c r="AA72" i="20"/>
  <c r="AA73" i="20" s="1"/>
  <c r="AC71" i="20"/>
  <c r="AF71" i="20"/>
  <c r="Y73" i="20"/>
  <c r="M14" i="16"/>
  <c r="M21" i="16" s="1"/>
  <c r="F29" i="14"/>
  <c r="E27" i="19"/>
  <c r="G27" i="19" s="1"/>
  <c r="H27" i="19" s="1"/>
  <c r="J27" i="19" s="1"/>
  <c r="E29" i="16"/>
  <c r="G29" i="16" s="1"/>
  <c r="H29" i="16" s="1"/>
  <c r="J29" i="16" s="1"/>
  <c r="K12" i="14"/>
  <c r="K19" i="14" s="1"/>
  <c r="K12" i="16"/>
  <c r="K19" i="16" s="1"/>
  <c r="E28" i="17"/>
  <c r="G28" i="17" s="1"/>
  <c r="F28" i="17"/>
  <c r="N13" i="18"/>
  <c r="N20" i="18" s="1"/>
  <c r="H27" i="17"/>
  <c r="J27" i="17" s="1"/>
  <c r="E26" i="14"/>
  <c r="G26" i="14" s="1"/>
  <c r="F28" i="19"/>
  <c r="I29" i="15"/>
  <c r="M14" i="19"/>
  <c r="M21" i="19" s="1"/>
  <c r="F29" i="19"/>
  <c r="H29" i="19" s="1"/>
  <c r="J29" i="19" s="1"/>
  <c r="H28" i="15"/>
  <c r="J28" i="15" s="1"/>
  <c r="E27" i="14"/>
  <c r="G27" i="14" s="1"/>
  <c r="H27" i="14" s="1"/>
  <c r="J27" i="14" s="1"/>
  <c r="F26" i="19"/>
  <c r="H29" i="15"/>
  <c r="F29" i="18"/>
  <c r="E28" i="18"/>
  <c r="G28" i="18" s="1"/>
  <c r="H28" i="18" s="1"/>
  <c r="J28" i="18" s="1"/>
  <c r="E28" i="19"/>
  <c r="G28" i="19" s="1"/>
  <c r="E26" i="19"/>
  <c r="G26" i="19" s="1"/>
  <c r="E26" i="16"/>
  <c r="G26" i="16" s="1"/>
  <c r="F26" i="16"/>
  <c r="H27" i="18"/>
  <c r="J27" i="18" s="1"/>
  <c r="L14" i="17"/>
  <c r="L21" i="17" s="1"/>
  <c r="N11" i="16"/>
  <c r="N18" i="16" s="1"/>
  <c r="H26" i="18"/>
  <c r="J26" i="18" s="1"/>
  <c r="N11" i="18"/>
  <c r="N18" i="18" s="1"/>
  <c r="E29" i="14"/>
  <c r="G29" i="14" s="1"/>
  <c r="F26" i="14"/>
  <c r="I26" i="17"/>
  <c r="E26" i="17"/>
  <c r="G26" i="17" s="1"/>
  <c r="H26" i="17" s="1"/>
  <c r="K14" i="15"/>
  <c r="K21" i="15" s="1"/>
  <c r="N11" i="15"/>
  <c r="N18" i="15" s="1"/>
  <c r="E29" i="17"/>
  <c r="G29" i="17" s="1"/>
  <c r="H29" i="17" s="1"/>
  <c r="J29" i="17" s="1"/>
  <c r="H28" i="16"/>
  <c r="J28" i="16" s="1"/>
  <c r="H28" i="14"/>
  <c r="J28" i="14" s="1"/>
  <c r="H27" i="16"/>
  <c r="J27" i="16" s="1"/>
  <c r="F3" i="13"/>
  <c r="F4" i="13"/>
  <c r="F5" i="13"/>
  <c r="F6" i="13"/>
  <c r="F7" i="13"/>
  <c r="F8" i="13"/>
  <c r="E8" i="13"/>
  <c r="E7" i="13"/>
  <c r="E6" i="13"/>
  <c r="E5" i="13"/>
  <c r="M4" i="13" s="1"/>
  <c r="E4" i="13"/>
  <c r="E3" i="13"/>
  <c r="E1" i="13"/>
  <c r="J21" i="13" s="1"/>
  <c r="D1" i="13"/>
  <c r="A28" i="13" s="1"/>
  <c r="C1" i="13"/>
  <c r="B6" i="13" s="1"/>
  <c r="B1" i="13"/>
  <c r="K3" i="13" s="1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31" i="13"/>
  <c r="Z74" i="20"/>
  <c r="Y74" i="20"/>
  <c r="H29" i="18" l="1"/>
  <c r="J29" i="18" s="1"/>
  <c r="R21" i="18" s="1"/>
  <c r="Y1" i="20"/>
  <c r="Z1" i="20"/>
  <c r="AE71" i="20"/>
  <c r="AH71" i="20"/>
  <c r="AC72" i="20"/>
  <c r="AB72" i="20"/>
  <c r="AB73" i="20" s="1"/>
  <c r="D5" i="13"/>
  <c r="R10" i="13"/>
  <c r="R3" i="13"/>
  <c r="R17" i="13"/>
  <c r="K17" i="13"/>
  <c r="P3" i="13"/>
  <c r="J18" i="13"/>
  <c r="J19" i="13"/>
  <c r="J5" i="13"/>
  <c r="D3" i="13"/>
  <c r="H29" i="14"/>
  <c r="J29" i="14" s="1"/>
  <c r="Q21" i="14" s="1"/>
  <c r="H28" i="19"/>
  <c r="J28" i="19" s="1"/>
  <c r="R19" i="19" s="1"/>
  <c r="R19" i="18"/>
  <c r="H28" i="17"/>
  <c r="J28" i="17" s="1"/>
  <c r="R21" i="17" s="1"/>
  <c r="H26" i="14"/>
  <c r="J26" i="14" s="1"/>
  <c r="P19" i="14" s="1"/>
  <c r="H26" i="19"/>
  <c r="J26" i="19" s="1"/>
  <c r="J29" i="15"/>
  <c r="H26" i="16"/>
  <c r="J26" i="16" s="1"/>
  <c r="P20" i="16" s="1"/>
  <c r="Q20" i="18"/>
  <c r="R18" i="18"/>
  <c r="J26" i="17"/>
  <c r="P21" i="17" s="1"/>
  <c r="H7" i="13"/>
  <c r="G4" i="13"/>
  <c r="G8" i="13"/>
  <c r="Q21" i="17"/>
  <c r="S19" i="17"/>
  <c r="H4" i="13"/>
  <c r="Q18" i="18"/>
  <c r="H5" i="13"/>
  <c r="P20" i="18"/>
  <c r="P19" i="18"/>
  <c r="Q20" i="16"/>
  <c r="S19" i="19"/>
  <c r="Q21" i="19"/>
  <c r="R21" i="16"/>
  <c r="Q21" i="16"/>
  <c r="S20" i="16"/>
  <c r="S19" i="16"/>
  <c r="R19" i="16"/>
  <c r="Q20" i="14"/>
  <c r="R19" i="14"/>
  <c r="H3" i="13"/>
  <c r="G3" i="13"/>
  <c r="M5" i="13"/>
  <c r="H8" i="13"/>
  <c r="K7" i="13"/>
  <c r="G7" i="13"/>
  <c r="G5" i="13"/>
  <c r="K6" i="13"/>
  <c r="K13" i="13" s="1"/>
  <c r="K20" i="13" s="1"/>
  <c r="N5" i="13"/>
  <c r="G6" i="13"/>
  <c r="L7" i="13"/>
  <c r="H6" i="13"/>
  <c r="D27" i="13"/>
  <c r="C29" i="13"/>
  <c r="I29" i="13" s="1"/>
  <c r="L4" i="13"/>
  <c r="B4" i="13"/>
  <c r="B8" i="13"/>
  <c r="J20" i="13"/>
  <c r="M3" i="13"/>
  <c r="M17" i="13"/>
  <c r="B3" i="13"/>
  <c r="D7" i="13"/>
  <c r="P17" i="13"/>
  <c r="A26" i="13"/>
  <c r="S10" i="13"/>
  <c r="D26" i="13"/>
  <c r="K5" i="13"/>
  <c r="C27" i="13"/>
  <c r="C28" i="13"/>
  <c r="D29" i="13"/>
  <c r="N6" i="13"/>
  <c r="J7" i="13"/>
  <c r="Q10" i="13"/>
  <c r="N4" i="13"/>
  <c r="L6" i="13"/>
  <c r="L10" i="13"/>
  <c r="J14" i="13"/>
  <c r="B7" i="13"/>
  <c r="D4" i="13"/>
  <c r="A29" i="13"/>
  <c r="S17" i="13"/>
  <c r="N17" i="13"/>
  <c r="D6" i="13"/>
  <c r="S3" i="13"/>
  <c r="N3" i="13"/>
  <c r="Q17" i="13"/>
  <c r="L17" i="13"/>
  <c r="J12" i="13"/>
  <c r="D8" i="13"/>
  <c r="Q3" i="13"/>
  <c r="L3" i="13"/>
  <c r="A27" i="13"/>
  <c r="B29" i="13"/>
  <c r="B28" i="13"/>
  <c r="N10" i="13"/>
  <c r="C26" i="13"/>
  <c r="J4" i="13"/>
  <c r="B5" i="13"/>
  <c r="M7" i="13"/>
  <c r="K10" i="13"/>
  <c r="P10" i="13"/>
  <c r="J11" i="13"/>
  <c r="J13" i="13"/>
  <c r="D28" i="13"/>
  <c r="J6" i="13"/>
  <c r="M10" i="13"/>
  <c r="B26" i="13"/>
  <c r="B27" i="13"/>
  <c r="H30" i="2"/>
  <c r="H31" i="2" s="1"/>
  <c r="AA74" i="20"/>
  <c r="AB74" i="20"/>
  <c r="M14" i="13" l="1"/>
  <c r="M21" i="13" s="1"/>
  <c r="S19" i="18"/>
  <c r="T19" i="18" s="1"/>
  <c r="K27" i="18" s="1"/>
  <c r="L27" i="18" s="1"/>
  <c r="P21" i="18"/>
  <c r="S20" i="19"/>
  <c r="S20" i="18"/>
  <c r="T20" i="18" s="1"/>
  <c r="K28" i="18" s="1"/>
  <c r="L28" i="18" s="1"/>
  <c r="Q21" i="18"/>
  <c r="S18" i="18"/>
  <c r="T18" i="18" s="1"/>
  <c r="K26" i="18" s="1"/>
  <c r="L26" i="18" s="1"/>
  <c r="AB1" i="20"/>
  <c r="AA1" i="20"/>
  <c r="AJ71" i="20"/>
  <c r="AG71" i="20"/>
  <c r="AD72" i="20"/>
  <c r="AD73" i="20" s="1"/>
  <c r="AE72" i="20"/>
  <c r="AE73" i="20" s="1"/>
  <c r="AC73" i="20"/>
  <c r="P20" i="19"/>
  <c r="Q20" i="19"/>
  <c r="R21" i="14"/>
  <c r="S19" i="14"/>
  <c r="T19" i="14" s="1"/>
  <c r="K27" i="14" s="1"/>
  <c r="L27" i="14" s="1"/>
  <c r="S20" i="14"/>
  <c r="R21" i="19"/>
  <c r="Q20" i="17"/>
  <c r="S20" i="17"/>
  <c r="R21" i="15"/>
  <c r="P20" i="14"/>
  <c r="P21" i="14"/>
  <c r="S18" i="14"/>
  <c r="R18" i="14"/>
  <c r="Q18" i="14"/>
  <c r="R19" i="17"/>
  <c r="Q18" i="19"/>
  <c r="R18" i="19"/>
  <c r="P19" i="19"/>
  <c r="T19" i="19" s="1"/>
  <c r="K27" i="19" s="1"/>
  <c r="L27" i="19" s="1"/>
  <c r="S18" i="19"/>
  <c r="P21" i="19"/>
  <c r="R18" i="16"/>
  <c r="S20" i="15"/>
  <c r="R18" i="17"/>
  <c r="P19" i="16"/>
  <c r="T19" i="16" s="1"/>
  <c r="K27" i="16" s="1"/>
  <c r="L27" i="16" s="1"/>
  <c r="P21" i="16"/>
  <c r="T21" i="16" s="1"/>
  <c r="K29" i="16" s="1"/>
  <c r="L29" i="16" s="1"/>
  <c r="S18" i="16"/>
  <c r="Q18" i="16"/>
  <c r="M11" i="13"/>
  <c r="M18" i="13" s="1"/>
  <c r="P20" i="17"/>
  <c r="Q18" i="17"/>
  <c r="P19" i="17"/>
  <c r="S18" i="17"/>
  <c r="L14" i="13"/>
  <c r="L21" i="13" s="1"/>
  <c r="T21" i="17"/>
  <c r="K29" i="17" s="1"/>
  <c r="L29" i="17" s="1"/>
  <c r="N12" i="13"/>
  <c r="N19" i="13" s="1"/>
  <c r="F28" i="13"/>
  <c r="T20" i="16"/>
  <c r="K28" i="16" s="1"/>
  <c r="L28" i="16" s="1"/>
  <c r="L13" i="13"/>
  <c r="L20" i="13" s="1"/>
  <c r="F27" i="13"/>
  <c r="K12" i="13"/>
  <c r="K19" i="13" s="1"/>
  <c r="F29" i="13"/>
  <c r="M12" i="13"/>
  <c r="M19" i="13" s="1"/>
  <c r="E29" i="13"/>
  <c r="G29" i="13" s="1"/>
  <c r="I26" i="13"/>
  <c r="E26" i="13"/>
  <c r="G26" i="13" s="1"/>
  <c r="K14" i="13"/>
  <c r="K21" i="13" s="1"/>
  <c r="N11" i="13"/>
  <c r="N18" i="13" s="1"/>
  <c r="N13" i="13"/>
  <c r="N20" i="13" s="1"/>
  <c r="I27" i="13"/>
  <c r="E27" i="13"/>
  <c r="G27" i="13" s="1"/>
  <c r="I28" i="13"/>
  <c r="E28" i="13"/>
  <c r="G28" i="13" s="1"/>
  <c r="F26" i="13"/>
  <c r="L11" i="13"/>
  <c r="L18" i="13" s="1"/>
  <c r="G50" i="2"/>
  <c r="G51" i="2" s="1"/>
  <c r="G48" i="2"/>
  <c r="G49" i="2" s="1"/>
  <c r="G46" i="2"/>
  <c r="G47" i="2" s="1"/>
  <c r="G44" i="2"/>
  <c r="G45" i="2" s="1"/>
  <c r="G42" i="2"/>
  <c r="G43" i="2" s="1"/>
  <c r="G40" i="2"/>
  <c r="G41" i="2" s="1"/>
  <c r="G38" i="2"/>
  <c r="G39" i="2" s="1"/>
  <c r="G36" i="2"/>
  <c r="G37" i="2" s="1"/>
  <c r="G34" i="2"/>
  <c r="G35" i="2" s="1"/>
  <c r="G32" i="2"/>
  <c r="G33" i="2" s="1"/>
  <c r="H33" i="2"/>
  <c r="H34" i="2" s="1"/>
  <c r="H35" i="2" s="1"/>
  <c r="H36" i="2" s="1"/>
  <c r="H37" i="2" s="1"/>
  <c r="H38" i="2" s="1"/>
  <c r="H39" i="2" s="1"/>
  <c r="H40" i="2" s="1"/>
  <c r="H41" i="2" s="1"/>
  <c r="AD74" i="20"/>
  <c r="AC74" i="20"/>
  <c r="T21" i="18" l="1"/>
  <c r="K29" i="18" s="1"/>
  <c r="L29" i="18" s="1"/>
  <c r="S12" i="18" s="1"/>
  <c r="T20" i="19"/>
  <c r="K28" i="19" s="1"/>
  <c r="L28" i="19" s="1"/>
  <c r="R12" i="19" s="1"/>
  <c r="Q13" i="18"/>
  <c r="AC1" i="20"/>
  <c r="AD1" i="20"/>
  <c r="AI71" i="20"/>
  <c r="AG72" i="20"/>
  <c r="AF72" i="20"/>
  <c r="AF73" i="20" s="1"/>
  <c r="AL71" i="20"/>
  <c r="T21" i="14"/>
  <c r="K29" i="14" s="1"/>
  <c r="L29" i="14" s="1"/>
  <c r="Q14" i="14" s="1"/>
  <c r="T20" i="14"/>
  <c r="K28" i="14" s="1"/>
  <c r="L28" i="14" s="1"/>
  <c r="R12" i="14" s="1"/>
  <c r="T21" i="19"/>
  <c r="K29" i="19" s="1"/>
  <c r="L29" i="19" s="1"/>
  <c r="T20" i="17"/>
  <c r="K28" i="17" s="1"/>
  <c r="L28" i="17" s="1"/>
  <c r="S13" i="17" s="1"/>
  <c r="T19" i="17"/>
  <c r="K27" i="17" s="1"/>
  <c r="L27" i="17" s="1"/>
  <c r="Q14" i="17" s="1"/>
  <c r="H28" i="13"/>
  <c r="J28" i="13" s="1"/>
  <c r="T18" i="14"/>
  <c r="K26" i="14" s="1"/>
  <c r="L26" i="14" s="1"/>
  <c r="T18" i="19"/>
  <c r="K26" i="19" s="1"/>
  <c r="L26" i="19" s="1"/>
  <c r="R12" i="18"/>
  <c r="P13" i="18"/>
  <c r="T18" i="16"/>
  <c r="K26" i="16" s="1"/>
  <c r="L26" i="16" s="1"/>
  <c r="P13" i="16" s="1"/>
  <c r="T18" i="17"/>
  <c r="K26" i="17" s="1"/>
  <c r="L26" i="17" s="1"/>
  <c r="P12" i="18"/>
  <c r="R14" i="16"/>
  <c r="S13" i="16"/>
  <c r="Q11" i="18"/>
  <c r="R11" i="18"/>
  <c r="Q14" i="16"/>
  <c r="S12" i="16"/>
  <c r="R12" i="16"/>
  <c r="Q13" i="16"/>
  <c r="H27" i="13"/>
  <c r="J27" i="13" s="1"/>
  <c r="H29" i="13"/>
  <c r="J29" i="13" s="1"/>
  <c r="H26" i="13"/>
  <c r="J26" i="13" s="1"/>
  <c r="H42" i="2"/>
  <c r="H43" i="2" s="1"/>
  <c r="H44" i="2" s="1"/>
  <c r="H45" i="2" s="1"/>
  <c r="H46" i="2" s="1"/>
  <c r="H47" i="2" s="1"/>
  <c r="H48" i="2" s="1"/>
  <c r="H49" i="2" s="1"/>
  <c r="H50" i="2" s="1"/>
  <c r="H51" i="2" s="1"/>
  <c r="H20" i="2"/>
  <c r="H21" i="2" s="1"/>
  <c r="H22" i="2" s="1"/>
  <c r="H23" i="2" s="1"/>
  <c r="H24" i="2" s="1"/>
  <c r="H25" i="2" s="1"/>
  <c r="H16" i="2"/>
  <c r="H17" i="2" s="1"/>
  <c r="H18" i="2" s="1"/>
  <c r="H19" i="2" s="1"/>
  <c r="AE74" i="20"/>
  <c r="AF74" i="20"/>
  <c r="R14" i="18" l="1"/>
  <c r="P13" i="19"/>
  <c r="S11" i="18"/>
  <c r="T11" i="18" s="1"/>
  <c r="M26" i="18" s="1"/>
  <c r="N26" i="18" s="1"/>
  <c r="P14" i="18"/>
  <c r="Q14" i="18"/>
  <c r="S13" i="18"/>
  <c r="T13" i="18" s="1"/>
  <c r="M28" i="18" s="1"/>
  <c r="N28" i="18" s="1"/>
  <c r="Q13" i="19"/>
  <c r="S13" i="19"/>
  <c r="P14" i="14"/>
  <c r="AE1" i="20"/>
  <c r="AF1" i="20"/>
  <c r="AH72" i="20"/>
  <c r="AH73" i="20" s="1"/>
  <c r="AI72" i="20"/>
  <c r="AI73" i="20" s="1"/>
  <c r="AK71" i="20"/>
  <c r="AN71" i="20"/>
  <c r="AG73" i="20"/>
  <c r="S12" i="14"/>
  <c r="R14" i="17"/>
  <c r="S13" i="14"/>
  <c r="R14" i="14"/>
  <c r="Q13" i="14"/>
  <c r="S12" i="19"/>
  <c r="R14" i="19"/>
  <c r="Q14" i="19"/>
  <c r="R11" i="17"/>
  <c r="R11" i="19"/>
  <c r="P13" i="14"/>
  <c r="S11" i="19"/>
  <c r="Q11" i="19"/>
  <c r="P12" i="19"/>
  <c r="R11" i="14"/>
  <c r="P12" i="14"/>
  <c r="Q11" i="14"/>
  <c r="S12" i="17"/>
  <c r="S11" i="14"/>
  <c r="R12" i="17"/>
  <c r="Q13" i="17"/>
  <c r="P14" i="19"/>
  <c r="T12" i="18"/>
  <c r="M27" i="18" s="1"/>
  <c r="N27" i="18" s="1"/>
  <c r="P14" i="16"/>
  <c r="T14" i="16" s="1"/>
  <c r="M29" i="16" s="1"/>
  <c r="N29" i="16" s="1"/>
  <c r="P12" i="16"/>
  <c r="T12" i="16" s="1"/>
  <c r="M27" i="16" s="1"/>
  <c r="N27" i="16" s="1"/>
  <c r="S11" i="16"/>
  <c r="R11" i="16"/>
  <c r="Q11" i="16"/>
  <c r="P12" i="17"/>
  <c r="P14" i="17"/>
  <c r="P13" i="17"/>
  <c r="S11" i="17"/>
  <c r="Q11" i="17"/>
  <c r="T13" i="16"/>
  <c r="M28" i="16" s="1"/>
  <c r="N28" i="16" s="1"/>
  <c r="R21" i="13"/>
  <c r="S20" i="13"/>
  <c r="R19" i="13"/>
  <c r="Q20" i="13"/>
  <c r="S19" i="13"/>
  <c r="Q21" i="13"/>
  <c r="P19" i="13"/>
  <c r="P20" i="13"/>
  <c r="P21" i="13"/>
  <c r="R18" i="13"/>
  <c r="S18" i="13"/>
  <c r="Q18" i="13"/>
  <c r="H26" i="2"/>
  <c r="H27" i="2" s="1"/>
  <c r="H28" i="2" s="1"/>
  <c r="AG74" i="20"/>
  <c r="AH74" i="20"/>
  <c r="T14" i="18" l="1"/>
  <c r="M29" i="18" s="1"/>
  <c r="N29" i="18" s="1"/>
  <c r="S5" i="18" s="1"/>
  <c r="T13" i="19"/>
  <c r="M28" i="19" s="1"/>
  <c r="N28" i="19" s="1"/>
  <c r="T14" i="14"/>
  <c r="M29" i="14" s="1"/>
  <c r="N29" i="14" s="1"/>
  <c r="T14" i="17"/>
  <c r="M29" i="17" s="1"/>
  <c r="N29" i="17" s="1"/>
  <c r="T12" i="14"/>
  <c r="M27" i="14" s="1"/>
  <c r="N27" i="14" s="1"/>
  <c r="AG1" i="20"/>
  <c r="AH1" i="20"/>
  <c r="AM71" i="20"/>
  <c r="AP71" i="20"/>
  <c r="AK72" i="20"/>
  <c r="AJ72" i="20"/>
  <c r="AJ73" i="20" s="1"/>
  <c r="T13" i="14"/>
  <c r="M28" i="14" s="1"/>
  <c r="N28" i="14" s="1"/>
  <c r="T14" i="19"/>
  <c r="M29" i="19" s="1"/>
  <c r="N29" i="19" s="1"/>
  <c r="T12" i="19"/>
  <c r="M27" i="19" s="1"/>
  <c r="N27" i="19" s="1"/>
  <c r="T11" i="19"/>
  <c r="M26" i="19" s="1"/>
  <c r="N26" i="19" s="1"/>
  <c r="T12" i="17"/>
  <c r="M27" i="17" s="1"/>
  <c r="N27" i="17" s="1"/>
  <c r="T11" i="14"/>
  <c r="M26" i="14" s="1"/>
  <c r="N26" i="14" s="1"/>
  <c r="R5" i="18"/>
  <c r="T13" i="17"/>
  <c r="M28" i="17" s="1"/>
  <c r="N28" i="17" s="1"/>
  <c r="Q6" i="18"/>
  <c r="T11" i="16"/>
  <c r="M26" i="16" s="1"/>
  <c r="N26" i="16" s="1"/>
  <c r="P6" i="16" s="1"/>
  <c r="T11" i="17"/>
  <c r="M26" i="17" s="1"/>
  <c r="N26" i="17" s="1"/>
  <c r="P6" i="18"/>
  <c r="Q4" i="18"/>
  <c r="P5" i="18"/>
  <c r="R7" i="16"/>
  <c r="R5" i="16"/>
  <c r="S6" i="16"/>
  <c r="Q7" i="16"/>
  <c r="R4" i="18"/>
  <c r="S5" i="16"/>
  <c r="Q6" i="16"/>
  <c r="T20" i="13"/>
  <c r="K28" i="13" s="1"/>
  <c r="L28" i="13" s="1"/>
  <c r="T21" i="13"/>
  <c r="K29" i="13" s="1"/>
  <c r="L29" i="13" s="1"/>
  <c r="T19" i="13"/>
  <c r="K27" i="13" s="1"/>
  <c r="L27" i="13" s="1"/>
  <c r="T18" i="13"/>
  <c r="K26" i="13" s="1"/>
  <c r="L26" i="13" s="1"/>
  <c r="AJ74" i="20"/>
  <c r="AI74" i="20"/>
  <c r="R4" i="19" l="1"/>
  <c r="S6" i="19"/>
  <c r="S6" i="18"/>
  <c r="T6" i="18" s="1"/>
  <c r="O28" i="18" s="1"/>
  <c r="P28" i="18" s="1"/>
  <c r="U28" i="18" s="1"/>
  <c r="R7" i="18"/>
  <c r="S4" i="18"/>
  <c r="T4" i="18" s="1"/>
  <c r="O26" i="18" s="1"/>
  <c r="P26" i="18" s="1"/>
  <c r="U26" i="18" s="1"/>
  <c r="P7" i="18"/>
  <c r="Q7" i="18"/>
  <c r="R5" i="19"/>
  <c r="S5" i="17"/>
  <c r="Q7" i="14"/>
  <c r="S6" i="14"/>
  <c r="S5" i="14"/>
  <c r="P7" i="17"/>
  <c r="R7" i="17"/>
  <c r="AI1" i="20"/>
  <c r="AJ1" i="20"/>
  <c r="AR71" i="20"/>
  <c r="AO71" i="20"/>
  <c r="AL72" i="20"/>
  <c r="AL73" i="20" s="1"/>
  <c r="AM72" i="20"/>
  <c r="AM73" i="20" s="1"/>
  <c r="AK73" i="20"/>
  <c r="R7" i="19"/>
  <c r="Q6" i="19"/>
  <c r="Q7" i="19"/>
  <c r="R7" i="14"/>
  <c r="R5" i="14"/>
  <c r="Q6" i="14"/>
  <c r="P6" i="14"/>
  <c r="S5" i="19"/>
  <c r="Q7" i="17"/>
  <c r="Q6" i="17"/>
  <c r="Q4" i="19"/>
  <c r="P5" i="19"/>
  <c r="S4" i="19"/>
  <c r="P7" i="19"/>
  <c r="P6" i="19"/>
  <c r="R5" i="17"/>
  <c r="S6" i="17"/>
  <c r="Q4" i="14"/>
  <c r="P5" i="14"/>
  <c r="P7" i="14"/>
  <c r="R4" i="14"/>
  <c r="S4" i="14"/>
  <c r="T5" i="18"/>
  <c r="O27" i="18" s="1"/>
  <c r="P27" i="18" s="1"/>
  <c r="U27" i="18" s="1"/>
  <c r="P5" i="16"/>
  <c r="T5" i="16" s="1"/>
  <c r="O27" i="16" s="1"/>
  <c r="P27" i="16" s="1"/>
  <c r="U27" i="16" s="1"/>
  <c r="P7" i="16"/>
  <c r="T7" i="16" s="1"/>
  <c r="O29" i="16" s="1"/>
  <c r="P29" i="16" s="1"/>
  <c r="U29" i="16" s="1"/>
  <c r="S4" i="16"/>
  <c r="R4" i="16"/>
  <c r="Q4" i="16"/>
  <c r="Q4" i="17"/>
  <c r="P5" i="17"/>
  <c r="P6" i="17"/>
  <c r="R4" i="17"/>
  <c r="S4" i="17"/>
  <c r="T6" i="16"/>
  <c r="O28" i="16" s="1"/>
  <c r="P28" i="16" s="1"/>
  <c r="U28" i="16" s="1"/>
  <c r="R14" i="13"/>
  <c r="S13" i="13"/>
  <c r="P14" i="13"/>
  <c r="Q13" i="13"/>
  <c r="R12" i="13"/>
  <c r="S12" i="13"/>
  <c r="Q14" i="13"/>
  <c r="S11" i="13"/>
  <c r="Q11" i="13"/>
  <c r="R11" i="13"/>
  <c r="P12" i="13"/>
  <c r="P13" i="13"/>
  <c r="S30" i="9"/>
  <c r="S36" i="9" s="1"/>
  <c r="S42" i="9" s="1"/>
  <c r="S48" i="9" s="1"/>
  <c r="S54" i="9" s="1"/>
  <c r="S60" i="9" s="1"/>
  <c r="S66" i="9" s="1"/>
  <c r="N30" i="9"/>
  <c r="N36" i="9" s="1"/>
  <c r="N42" i="9" s="1"/>
  <c r="N48" i="9" s="1"/>
  <c r="N54" i="9" s="1"/>
  <c r="N60" i="9" s="1"/>
  <c r="N66" i="9" s="1"/>
  <c r="R30" i="9"/>
  <c r="R36" i="9" s="1"/>
  <c r="R42" i="9" s="1"/>
  <c r="R48" i="9" s="1"/>
  <c r="R54" i="9" s="1"/>
  <c r="R60" i="9" s="1"/>
  <c r="R66" i="9" s="1"/>
  <c r="I8" i="7"/>
  <c r="I7" i="7"/>
  <c r="I6" i="7"/>
  <c r="I5" i="7"/>
  <c r="I3" i="7"/>
  <c r="F3" i="7"/>
  <c r="E3" i="7"/>
  <c r="I4" i="7"/>
  <c r="AK74" i="20"/>
  <c r="AL74" i="20"/>
  <c r="T7" i="18" l="1"/>
  <c r="O29" i="18" s="1"/>
  <c r="P29" i="18" s="1"/>
  <c r="U29" i="18" s="1"/>
  <c r="V29" i="18" s="1"/>
  <c r="T5" i="19"/>
  <c r="O27" i="19" s="1"/>
  <c r="P27" i="19" s="1"/>
  <c r="U27" i="19" s="1"/>
  <c r="T7" i="14"/>
  <c r="O29" i="14" s="1"/>
  <c r="P29" i="14" s="1"/>
  <c r="U29" i="14" s="1"/>
  <c r="T7" i="17"/>
  <c r="O29" i="17" s="1"/>
  <c r="P29" i="17" s="1"/>
  <c r="U29" i="17" s="1"/>
  <c r="AK1" i="20"/>
  <c r="AL1" i="20"/>
  <c r="AQ71" i="20"/>
  <c r="AO72" i="20"/>
  <c r="AN72" i="20"/>
  <c r="AN73" i="20" s="1"/>
  <c r="AT71" i="20"/>
  <c r="T6" i="14"/>
  <c r="O28" i="14" s="1"/>
  <c r="P28" i="14" s="1"/>
  <c r="U28" i="14" s="1"/>
  <c r="T7" i="19"/>
  <c r="O29" i="19" s="1"/>
  <c r="P29" i="19" s="1"/>
  <c r="U29" i="19" s="1"/>
  <c r="T5" i="14"/>
  <c r="O27" i="14" s="1"/>
  <c r="P27" i="14" s="1"/>
  <c r="U27" i="14" s="1"/>
  <c r="T6" i="19"/>
  <c r="O28" i="19" s="1"/>
  <c r="P28" i="19" s="1"/>
  <c r="U28" i="19" s="1"/>
  <c r="T4" i="19"/>
  <c r="O26" i="19" s="1"/>
  <c r="P26" i="19" s="1"/>
  <c r="U26" i="19" s="1"/>
  <c r="T5" i="17"/>
  <c r="O27" i="17" s="1"/>
  <c r="P27" i="17" s="1"/>
  <c r="U27" i="17" s="1"/>
  <c r="T6" i="17"/>
  <c r="O28" i="17" s="1"/>
  <c r="P28" i="17" s="1"/>
  <c r="U28" i="17" s="1"/>
  <c r="T4" i="14"/>
  <c r="O26" i="14" s="1"/>
  <c r="P26" i="14" s="1"/>
  <c r="U26" i="14" s="1"/>
  <c r="T4" i="16"/>
  <c r="O26" i="16" s="1"/>
  <c r="P26" i="16" s="1"/>
  <c r="U26" i="16" s="1"/>
  <c r="V29" i="16" s="1"/>
  <c r="T4" i="17"/>
  <c r="O26" i="17" s="1"/>
  <c r="P26" i="17" s="1"/>
  <c r="U26" i="17" s="1"/>
  <c r="T14" i="13"/>
  <c r="M29" i="13" s="1"/>
  <c r="N29" i="13" s="1"/>
  <c r="T13" i="13"/>
  <c r="M28" i="13" s="1"/>
  <c r="N28" i="13" s="1"/>
  <c r="T12" i="13"/>
  <c r="M27" i="13" s="1"/>
  <c r="N27" i="13" s="1"/>
  <c r="T11" i="13"/>
  <c r="M26" i="13" s="1"/>
  <c r="N26" i="13" s="1"/>
  <c r="G3" i="7"/>
  <c r="H3" i="7"/>
  <c r="B29" i="7"/>
  <c r="B26" i="7"/>
  <c r="AM74" i="20"/>
  <c r="AN74" i="20"/>
  <c r="V28" i="18" l="1"/>
  <c r="V27" i="18"/>
  <c r="V26" i="18"/>
  <c r="AN1" i="20"/>
  <c r="AM1" i="20"/>
  <c r="AP72" i="20"/>
  <c r="AP73" i="20" s="1"/>
  <c r="AQ72" i="20"/>
  <c r="AQ73" i="20" s="1"/>
  <c r="AS71" i="20"/>
  <c r="AV71" i="20"/>
  <c r="AO73" i="20"/>
  <c r="V27" i="14"/>
  <c r="V29" i="19"/>
  <c r="V27" i="19"/>
  <c r="V26" i="19"/>
  <c r="V28" i="19"/>
  <c r="V29" i="14"/>
  <c r="V29" i="17"/>
  <c r="V28" i="14"/>
  <c r="V26" i="14"/>
  <c r="V27" i="17"/>
  <c r="V28" i="16"/>
  <c r="V26" i="16"/>
  <c r="V27" i="16"/>
  <c r="V26" i="17"/>
  <c r="V28" i="17"/>
  <c r="Q6" i="13"/>
  <c r="P7" i="13"/>
  <c r="Q7" i="13"/>
  <c r="R7" i="13"/>
  <c r="S6" i="13"/>
  <c r="R5" i="13"/>
  <c r="S5" i="13"/>
  <c r="P5" i="13"/>
  <c r="R4" i="13"/>
  <c r="Q4" i="13"/>
  <c r="P6" i="13"/>
  <c r="S4" i="13"/>
  <c r="I61" i="9"/>
  <c r="I60" i="9"/>
  <c r="I63" i="9"/>
  <c r="I62" i="9"/>
  <c r="I59" i="9"/>
  <c r="I58" i="9"/>
  <c r="I57" i="9"/>
  <c r="I56" i="9"/>
  <c r="I55" i="9"/>
  <c r="I54" i="9"/>
  <c r="I53" i="9"/>
  <c r="I52" i="9"/>
  <c r="I49" i="9"/>
  <c r="I48" i="9"/>
  <c r="I51" i="9"/>
  <c r="I50" i="9"/>
  <c r="I47" i="9"/>
  <c r="I44" i="9"/>
  <c r="I45" i="9"/>
  <c r="I42" i="9"/>
  <c r="I46" i="9"/>
  <c r="I41" i="9"/>
  <c r="I40" i="9"/>
  <c r="I43" i="9"/>
  <c r="I36" i="9"/>
  <c r="I37" i="9"/>
  <c r="I38" i="9"/>
  <c r="I39" i="9"/>
  <c r="I35" i="9"/>
  <c r="I34" i="9"/>
  <c r="I32" i="9"/>
  <c r="I29" i="9"/>
  <c r="I33" i="9"/>
  <c r="I30" i="9"/>
  <c r="I28" i="9"/>
  <c r="I24" i="9"/>
  <c r="I31" i="9"/>
  <c r="I27" i="9"/>
  <c r="I25" i="9"/>
  <c r="I26" i="9"/>
  <c r="I21" i="9"/>
  <c r="I22" i="9"/>
  <c r="I23" i="9"/>
  <c r="I20" i="9"/>
  <c r="I19" i="9"/>
  <c r="I18" i="9"/>
  <c r="I16" i="9"/>
  <c r="AO74" i="20"/>
  <c r="AP74" i="20"/>
  <c r="W27" i="18" l="1"/>
  <c r="W26" i="18"/>
  <c r="AO1" i="20"/>
  <c r="AP1" i="20"/>
  <c r="AU71" i="20"/>
  <c r="AX71" i="20"/>
  <c r="AS72" i="20"/>
  <c r="AR72" i="20"/>
  <c r="AR73" i="20" s="1"/>
  <c r="W26" i="19"/>
  <c r="W27" i="19"/>
  <c r="W26" i="14"/>
  <c r="W27" i="14"/>
  <c r="W27" i="17"/>
  <c r="W27" i="16"/>
  <c r="W26" i="16"/>
  <c r="W26" i="17"/>
  <c r="T7" i="13"/>
  <c r="O29" i="13" s="1"/>
  <c r="P29" i="13" s="1"/>
  <c r="U29" i="13" s="1"/>
  <c r="T6" i="13"/>
  <c r="O28" i="13" s="1"/>
  <c r="P28" i="13" s="1"/>
  <c r="U28" i="13" s="1"/>
  <c r="T5" i="13"/>
  <c r="O27" i="13" s="1"/>
  <c r="P27" i="13" s="1"/>
  <c r="U27" i="13" s="1"/>
  <c r="T4" i="13"/>
  <c r="O26" i="13" s="1"/>
  <c r="P26" i="13" s="1"/>
  <c r="U26" i="13" s="1"/>
  <c r="F32" i="2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AQ74" i="20"/>
  <c r="AR74" i="20"/>
  <c r="W28" i="18" l="1"/>
  <c r="X26" i="18" s="1"/>
  <c r="W28" i="14"/>
  <c r="I16" i="14" s="1"/>
  <c r="W28" i="19"/>
  <c r="Q27" i="19" s="1"/>
  <c r="R27" i="19" s="1"/>
  <c r="T27" i="19" s="1"/>
  <c r="AQ1" i="20"/>
  <c r="AR1" i="20"/>
  <c r="AZ71" i="20"/>
  <c r="AW71" i="20"/>
  <c r="AT72" i="20"/>
  <c r="AT73" i="20" s="1"/>
  <c r="AU72" i="20"/>
  <c r="AS73" i="20"/>
  <c r="W28" i="17"/>
  <c r="X29" i="17" s="1"/>
  <c r="W28" i="16"/>
  <c r="Q29" i="16" s="1"/>
  <c r="R29" i="16" s="1"/>
  <c r="T29" i="16" s="1"/>
  <c r="V27" i="13"/>
  <c r="V26" i="13"/>
  <c r="V29" i="13"/>
  <c r="V28" i="13"/>
  <c r="D89" i="9"/>
  <c r="D86" i="9"/>
  <c r="D83" i="9"/>
  <c r="D82" i="9"/>
  <c r="D78" i="9"/>
  <c r="D79" i="9"/>
  <c r="D77" i="9"/>
  <c r="D76" i="9"/>
  <c r="D73" i="9"/>
  <c r="D72" i="9"/>
  <c r="D71" i="9"/>
  <c r="D70" i="9"/>
  <c r="D68" i="9"/>
  <c r="D69" i="9"/>
  <c r="D67" i="9"/>
  <c r="D66" i="9"/>
  <c r="D61" i="9"/>
  <c r="D60" i="9"/>
  <c r="D63" i="9"/>
  <c r="D62" i="9"/>
  <c r="D59" i="9"/>
  <c r="D58" i="9"/>
  <c r="D57" i="9"/>
  <c r="D56" i="9"/>
  <c r="D55" i="9"/>
  <c r="D54" i="9"/>
  <c r="D53" i="9"/>
  <c r="D52" i="9"/>
  <c r="D49" i="9"/>
  <c r="D48" i="9"/>
  <c r="D51" i="9"/>
  <c r="D50" i="9"/>
  <c r="D47" i="9"/>
  <c r="D44" i="9"/>
  <c r="D45" i="9"/>
  <c r="D42" i="9"/>
  <c r="D46" i="9"/>
  <c r="D41" i="9"/>
  <c r="D40" i="9"/>
  <c r="D43" i="9"/>
  <c r="D36" i="9"/>
  <c r="D37" i="9"/>
  <c r="D38" i="9"/>
  <c r="D39" i="9"/>
  <c r="D35" i="9"/>
  <c r="D34" i="9"/>
  <c r="D32" i="9"/>
  <c r="D29" i="9"/>
  <c r="D33" i="9"/>
  <c r="D30" i="9"/>
  <c r="D28" i="9"/>
  <c r="D24" i="9"/>
  <c r="D31" i="9"/>
  <c r="D27" i="9"/>
  <c r="D25" i="9"/>
  <c r="D26" i="9"/>
  <c r="D21" i="9"/>
  <c r="D22" i="9"/>
  <c r="D23" i="9"/>
  <c r="D20" i="9"/>
  <c r="D19" i="9"/>
  <c r="D18" i="9"/>
  <c r="D16" i="9"/>
  <c r="AT74" i="20"/>
  <c r="AS74" i="20"/>
  <c r="Q28" i="18" l="1"/>
  <c r="R28" i="18" s="1"/>
  <c r="T28" i="18" s="1"/>
  <c r="Q29" i="18"/>
  <c r="R29" i="18" s="1"/>
  <c r="T29" i="18" s="1"/>
  <c r="Q26" i="18"/>
  <c r="R26" i="18" s="1"/>
  <c r="T26" i="18" s="1"/>
  <c r="Q27" i="18"/>
  <c r="R27" i="18" s="1"/>
  <c r="T27" i="18" s="1"/>
  <c r="X29" i="18"/>
  <c r="X27" i="18"/>
  <c r="I16" i="18"/>
  <c r="X28" i="18"/>
  <c r="Q27" i="14"/>
  <c r="R27" i="14" s="1"/>
  <c r="T27" i="14" s="1"/>
  <c r="X26" i="14"/>
  <c r="X27" i="14"/>
  <c r="X26" i="19"/>
  <c r="X27" i="19"/>
  <c r="X29" i="14"/>
  <c r="Q29" i="14"/>
  <c r="R29" i="14" s="1"/>
  <c r="T29" i="14" s="1"/>
  <c r="Q26" i="14"/>
  <c r="R26" i="14" s="1"/>
  <c r="T26" i="14" s="1"/>
  <c r="Q28" i="19"/>
  <c r="R28" i="19" s="1"/>
  <c r="T28" i="19" s="1"/>
  <c r="I16" i="19"/>
  <c r="Q26" i="19"/>
  <c r="R26" i="19" s="1"/>
  <c r="T26" i="19" s="1"/>
  <c r="X28" i="19"/>
  <c r="X29" i="19"/>
  <c r="Q29" i="19"/>
  <c r="R29" i="19" s="1"/>
  <c r="T29" i="19" s="1"/>
  <c r="AS1" i="20"/>
  <c r="AT1" i="20"/>
  <c r="AW72" i="20"/>
  <c r="AW73" i="20" s="1"/>
  <c r="AV72" i="20"/>
  <c r="AV73" i="20" s="1"/>
  <c r="BB71" i="20"/>
  <c r="AU73" i="20"/>
  <c r="AY71" i="20"/>
  <c r="X27" i="17"/>
  <c r="Q26" i="17"/>
  <c r="R26" i="17" s="1"/>
  <c r="T26" i="17" s="1"/>
  <c r="X28" i="16"/>
  <c r="I16" i="17"/>
  <c r="Q27" i="17"/>
  <c r="R27" i="17" s="1"/>
  <c r="T27" i="17" s="1"/>
  <c r="Q28" i="17"/>
  <c r="R28" i="17" s="1"/>
  <c r="T28" i="17" s="1"/>
  <c r="X28" i="17"/>
  <c r="Q29" i="17"/>
  <c r="R29" i="17" s="1"/>
  <c r="T29" i="17" s="1"/>
  <c r="X26" i="17"/>
  <c r="Q26" i="16"/>
  <c r="R26" i="16" s="1"/>
  <c r="T26" i="16" s="1"/>
  <c r="Q27" i="16"/>
  <c r="R27" i="16" s="1"/>
  <c r="T27" i="16" s="1"/>
  <c r="X27" i="16"/>
  <c r="X26" i="16"/>
  <c r="I16" i="16"/>
  <c r="Q28" i="16"/>
  <c r="R28" i="16" s="1"/>
  <c r="T28" i="16" s="1"/>
  <c r="X29" i="16"/>
  <c r="W27" i="13"/>
  <c r="W26" i="13"/>
  <c r="D37" i="2"/>
  <c r="D36" i="2"/>
  <c r="D35" i="2"/>
  <c r="D3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54" i="2"/>
  <c r="AU74" i="20"/>
  <c r="AV74" i="20"/>
  <c r="S26" i="18" l="1"/>
  <c r="S28" i="18"/>
  <c r="S27" i="18"/>
  <c r="S29" i="18"/>
  <c r="S29" i="19"/>
  <c r="S27" i="19"/>
  <c r="S26" i="19"/>
  <c r="S28" i="19"/>
  <c r="AU1" i="20"/>
  <c r="AV1" i="20"/>
  <c r="BA71" i="20"/>
  <c r="BD71" i="20"/>
  <c r="AX72" i="20"/>
  <c r="AX73" i="20" s="1"/>
  <c r="AY72" i="20"/>
  <c r="S29" i="17"/>
  <c r="S28" i="17"/>
  <c r="S29" i="16"/>
  <c r="S27" i="16"/>
  <c r="S26" i="17"/>
  <c r="S26" i="16"/>
  <c r="S27" i="17"/>
  <c r="S28" i="16"/>
  <c r="W28" i="13"/>
  <c r="X29" i="13" s="1"/>
  <c r="F8" i="7"/>
  <c r="E8" i="7"/>
  <c r="F7" i="7"/>
  <c r="E7" i="7"/>
  <c r="F6" i="7"/>
  <c r="F4" i="7"/>
  <c r="F5" i="7"/>
  <c r="E6" i="7"/>
  <c r="E5" i="7"/>
  <c r="E4" i="7"/>
  <c r="E1" i="7"/>
  <c r="D1" i="7"/>
  <c r="C1" i="7"/>
  <c r="B1" i="7"/>
  <c r="O24" i="9"/>
  <c r="O30" i="9" s="1"/>
  <c r="O36" i="9" s="1"/>
  <c r="O42" i="9" s="1"/>
  <c r="O48" i="9" s="1"/>
  <c r="O54" i="9" s="1"/>
  <c r="O60" i="9" s="1"/>
  <c r="O66" i="9" s="1"/>
  <c r="P24" i="9"/>
  <c r="P30" i="9" s="1"/>
  <c r="P36" i="9" s="1"/>
  <c r="P42" i="9" s="1"/>
  <c r="P48" i="9" s="1"/>
  <c r="P54" i="9" s="1"/>
  <c r="P60" i="9" s="1"/>
  <c r="P66" i="9" s="1"/>
  <c r="Q24" i="9"/>
  <c r="Q30" i="9" s="1"/>
  <c r="Q36" i="9" s="1"/>
  <c r="Q42" i="9" s="1"/>
  <c r="Q48" i="9" s="1"/>
  <c r="Q54" i="9" s="1"/>
  <c r="Q60" i="9" s="1"/>
  <c r="Q66" i="9" s="1"/>
  <c r="G6" i="2"/>
  <c r="G5" i="2"/>
  <c r="G4" i="2"/>
  <c r="G15" i="2"/>
  <c r="G14" i="2"/>
  <c r="G13" i="2"/>
  <c r="G12" i="2"/>
  <c r="G11" i="2"/>
  <c r="G10" i="2"/>
  <c r="G9" i="2"/>
  <c r="G8" i="2"/>
  <c r="G7" i="2"/>
  <c r="G3" i="2"/>
  <c r="G16" i="2"/>
  <c r="G20" i="2"/>
  <c r="G21" i="2"/>
  <c r="G22" i="2"/>
  <c r="G23" i="2"/>
  <c r="G24" i="2"/>
  <c r="G25" i="2"/>
  <c r="G26" i="2"/>
  <c r="G27" i="2"/>
  <c r="G28" i="2"/>
  <c r="G17" i="2"/>
  <c r="G18" i="2"/>
  <c r="G19" i="2"/>
  <c r="G2" i="2"/>
  <c r="B66" i="9"/>
  <c r="B67" i="9"/>
  <c r="B70" i="9"/>
  <c r="B71" i="9"/>
  <c r="B72" i="9"/>
  <c r="B73" i="9"/>
  <c r="B76" i="9"/>
  <c r="B77" i="9"/>
  <c r="B79" i="9"/>
  <c r="B78" i="9"/>
  <c r="B82" i="9"/>
  <c r="B83" i="9"/>
  <c r="B86" i="9"/>
  <c r="B89" i="9"/>
  <c r="D15" i="9"/>
  <c r="D65" i="9" s="1"/>
  <c r="D75" i="9" s="1"/>
  <c r="D81" i="9" s="1"/>
  <c r="D85" i="9" s="1"/>
  <c r="D88" i="9" s="1"/>
  <c r="AX74" i="20"/>
  <c r="AW74" i="20"/>
  <c r="G14" i="18" l="1"/>
  <c r="Q63" i="9" s="1"/>
  <c r="C14" i="18"/>
  <c r="M63" i="9" s="1"/>
  <c r="E14" i="18"/>
  <c r="O63" i="9" s="1"/>
  <c r="H14" i="18"/>
  <c r="R63" i="9" s="1"/>
  <c r="D14" i="18"/>
  <c r="N63" i="9" s="1"/>
  <c r="F14" i="18"/>
  <c r="P63" i="9" s="1"/>
  <c r="D13" i="18"/>
  <c r="N62" i="9" s="1"/>
  <c r="E13" i="18"/>
  <c r="O62" i="9" s="1"/>
  <c r="D15" i="18"/>
  <c r="N64" i="9" s="1"/>
  <c r="C15" i="18"/>
  <c r="M64" i="9" s="1"/>
  <c r="G15" i="18"/>
  <c r="Q64" i="9" s="1"/>
  <c r="G13" i="18"/>
  <c r="Q62" i="9" s="1"/>
  <c r="H12" i="18"/>
  <c r="R61" i="9" s="1"/>
  <c r="H15" i="18"/>
  <c r="R64" i="9" s="1"/>
  <c r="E15" i="18"/>
  <c r="O64" i="9" s="1"/>
  <c r="D12" i="18"/>
  <c r="N61" i="9" s="1"/>
  <c r="F15" i="18"/>
  <c r="P64" i="9" s="1"/>
  <c r="H13" i="18"/>
  <c r="R62" i="9" s="1"/>
  <c r="F13" i="18"/>
  <c r="P62" i="9" s="1"/>
  <c r="G12" i="18"/>
  <c r="Q61" i="9" s="1"/>
  <c r="C13" i="18"/>
  <c r="C44" i="2" s="1"/>
  <c r="E12" i="18"/>
  <c r="O61" i="9" s="1"/>
  <c r="C12" i="18"/>
  <c r="F12" i="18"/>
  <c r="P61" i="9" s="1"/>
  <c r="H12" i="19"/>
  <c r="R67" i="9" s="1"/>
  <c r="G12" i="19"/>
  <c r="Q67" i="9" s="1"/>
  <c r="D12" i="19"/>
  <c r="N67" i="9" s="1"/>
  <c r="F12" i="19"/>
  <c r="P67" i="9" s="1"/>
  <c r="C12" i="19"/>
  <c r="C53" i="2" s="1"/>
  <c r="E12" i="19"/>
  <c r="O67" i="9" s="1"/>
  <c r="C15" i="19"/>
  <c r="M70" i="9" s="1"/>
  <c r="E13" i="19"/>
  <c r="O68" i="9" s="1"/>
  <c r="H14" i="19"/>
  <c r="R69" i="9" s="1"/>
  <c r="C14" i="19"/>
  <c r="M69" i="9" s="1"/>
  <c r="D14" i="19"/>
  <c r="N69" i="9" s="1"/>
  <c r="G14" i="19"/>
  <c r="Q69" i="9" s="1"/>
  <c r="H13" i="19"/>
  <c r="R68" i="9" s="1"/>
  <c r="D13" i="19"/>
  <c r="N68" i="9" s="1"/>
  <c r="G15" i="19"/>
  <c r="Q70" i="9" s="1"/>
  <c r="E15" i="19"/>
  <c r="O70" i="9" s="1"/>
  <c r="C13" i="19"/>
  <c r="C45" i="2" s="1"/>
  <c r="H15" i="19"/>
  <c r="R70" i="9" s="1"/>
  <c r="F14" i="19"/>
  <c r="P69" i="9" s="1"/>
  <c r="D15" i="19"/>
  <c r="N70" i="9" s="1"/>
  <c r="F15" i="19"/>
  <c r="P70" i="9" s="1"/>
  <c r="F13" i="19"/>
  <c r="P68" i="9" s="1"/>
  <c r="E14" i="19"/>
  <c r="O69" i="9" s="1"/>
  <c r="G13" i="19"/>
  <c r="Q68" i="9" s="1"/>
  <c r="AW1" i="20"/>
  <c r="AX1" i="20"/>
  <c r="BF71" i="20"/>
  <c r="BA72" i="20"/>
  <c r="BA73" i="20" s="1"/>
  <c r="AZ72" i="20"/>
  <c r="AZ73" i="20" s="1"/>
  <c r="AY73" i="20"/>
  <c r="BC71" i="20"/>
  <c r="D12" i="16"/>
  <c r="N49" i="9" s="1"/>
  <c r="C12" i="17"/>
  <c r="C51" i="2" s="1"/>
  <c r="H15" i="17"/>
  <c r="R58" i="9" s="1"/>
  <c r="D15" i="17"/>
  <c r="N58" i="9" s="1"/>
  <c r="F15" i="17"/>
  <c r="P58" i="9" s="1"/>
  <c r="E15" i="17"/>
  <c r="O58" i="9" s="1"/>
  <c r="C15" i="17"/>
  <c r="M58" i="9" s="1"/>
  <c r="C14" i="17"/>
  <c r="M57" i="9" s="1"/>
  <c r="G15" i="17"/>
  <c r="Q58" i="9" s="1"/>
  <c r="E14" i="17"/>
  <c r="O57" i="9" s="1"/>
  <c r="C13" i="16"/>
  <c r="C42" i="2" s="1"/>
  <c r="F12" i="17"/>
  <c r="P55" i="9" s="1"/>
  <c r="F15" i="16"/>
  <c r="P52" i="9" s="1"/>
  <c r="D15" i="16"/>
  <c r="N52" i="9" s="1"/>
  <c r="F13" i="16"/>
  <c r="P50" i="9" s="1"/>
  <c r="C13" i="17"/>
  <c r="G13" i="17"/>
  <c r="Q56" i="9" s="1"/>
  <c r="D14" i="16"/>
  <c r="N51" i="9" s="1"/>
  <c r="E14" i="16"/>
  <c r="O51" i="9" s="1"/>
  <c r="G12" i="16"/>
  <c r="Q49" i="9" s="1"/>
  <c r="C14" i="16"/>
  <c r="M51" i="9" s="1"/>
  <c r="G14" i="16"/>
  <c r="Q51" i="9" s="1"/>
  <c r="F14" i="16"/>
  <c r="P51" i="9" s="1"/>
  <c r="H14" i="16"/>
  <c r="R51" i="9" s="1"/>
  <c r="F12" i="16"/>
  <c r="P49" i="9" s="1"/>
  <c r="H13" i="16"/>
  <c r="R50" i="9" s="1"/>
  <c r="E15" i="16"/>
  <c r="O52" i="9" s="1"/>
  <c r="H15" i="16"/>
  <c r="R52" i="9" s="1"/>
  <c r="E12" i="16"/>
  <c r="O49" i="9" s="1"/>
  <c r="H12" i="16"/>
  <c r="R49" i="9" s="1"/>
  <c r="G15" i="16"/>
  <c r="Q52" i="9" s="1"/>
  <c r="G13" i="16"/>
  <c r="Q50" i="9" s="1"/>
  <c r="C12" i="16"/>
  <c r="E13" i="16"/>
  <c r="O50" i="9" s="1"/>
  <c r="D13" i="16"/>
  <c r="N50" i="9" s="1"/>
  <c r="C15" i="16"/>
  <c r="M52" i="9" s="1"/>
  <c r="E13" i="17"/>
  <c r="O56" i="9" s="1"/>
  <c r="G14" i="17"/>
  <c r="Q57" i="9" s="1"/>
  <c r="F13" i="17"/>
  <c r="P56" i="9" s="1"/>
  <c r="H12" i="17"/>
  <c r="R55" i="9" s="1"/>
  <c r="D14" i="17"/>
  <c r="N57" i="9" s="1"/>
  <c r="F14" i="17"/>
  <c r="P57" i="9" s="1"/>
  <c r="E12" i="17"/>
  <c r="O55" i="9" s="1"/>
  <c r="G12" i="17"/>
  <c r="Q55" i="9" s="1"/>
  <c r="H13" i="17"/>
  <c r="R56" i="9" s="1"/>
  <c r="H14" i="17"/>
  <c r="R57" i="9" s="1"/>
  <c r="D12" i="17"/>
  <c r="N55" i="9" s="1"/>
  <c r="D13" i="17"/>
  <c r="N56" i="9" s="1"/>
  <c r="Q29" i="13"/>
  <c r="R29" i="13" s="1"/>
  <c r="T29" i="13" s="1"/>
  <c r="X28" i="13"/>
  <c r="Q27" i="13"/>
  <c r="R27" i="13" s="1"/>
  <c r="T27" i="13" s="1"/>
  <c r="I16" i="13"/>
  <c r="Q26" i="13"/>
  <c r="R26" i="13" s="1"/>
  <c r="T26" i="13" s="1"/>
  <c r="Q28" i="13"/>
  <c r="R28" i="13" s="1"/>
  <c r="T28" i="13" s="1"/>
  <c r="X26" i="13"/>
  <c r="X27" i="13"/>
  <c r="C26" i="7"/>
  <c r="G7" i="7"/>
  <c r="K7" i="7"/>
  <c r="D26" i="7"/>
  <c r="N4" i="7"/>
  <c r="H7" i="7"/>
  <c r="D29" i="7"/>
  <c r="C29" i="7"/>
  <c r="H8" i="7"/>
  <c r="G6" i="7"/>
  <c r="H5" i="7"/>
  <c r="G8" i="7"/>
  <c r="G5" i="7"/>
  <c r="H6" i="7"/>
  <c r="G4" i="7"/>
  <c r="H4" i="7"/>
  <c r="AZ74" i="20"/>
  <c r="AY74" i="20"/>
  <c r="M62" i="9" l="1"/>
  <c r="C52" i="2"/>
  <c r="M61" i="9"/>
  <c r="E7" i="23" s="1"/>
  <c r="D18" i="23" s="1"/>
  <c r="M65" i="9" s="1"/>
  <c r="M55" i="9"/>
  <c r="E6" i="23" s="1"/>
  <c r="D17" i="23" s="1"/>
  <c r="M59" i="9" s="1"/>
  <c r="M68" i="9"/>
  <c r="M67" i="9"/>
  <c r="E8" i="23" s="1"/>
  <c r="D19" i="23" s="1"/>
  <c r="M71" i="9" s="1"/>
  <c r="M50" i="9"/>
  <c r="AZ1" i="20"/>
  <c r="AY1" i="20"/>
  <c r="BE71" i="20"/>
  <c r="BB72" i="20"/>
  <c r="BB73" i="20" s="1"/>
  <c r="BC72" i="20"/>
  <c r="BH71" i="20"/>
  <c r="M49" i="9"/>
  <c r="E5" i="23" s="1"/>
  <c r="D16" i="23" s="1"/>
  <c r="M53" i="9" s="1"/>
  <c r="C50" i="2"/>
  <c r="M56" i="9"/>
  <c r="C43" i="2"/>
  <c r="S27" i="13"/>
  <c r="S28" i="13"/>
  <c r="S26" i="13"/>
  <c r="S29" i="13"/>
  <c r="F26" i="7"/>
  <c r="K14" i="7"/>
  <c r="N11" i="7"/>
  <c r="F29" i="7"/>
  <c r="BA74" i="20"/>
  <c r="BB74" i="20"/>
  <c r="O18" i="23" l="1"/>
  <c r="O16" i="23"/>
  <c r="O17" i="23"/>
  <c r="BA1" i="20"/>
  <c r="BB1" i="20"/>
  <c r="BE72" i="20"/>
  <c r="BD72" i="20"/>
  <c r="BD73" i="20" s="1"/>
  <c r="BJ71" i="20"/>
  <c r="BC73" i="20"/>
  <c r="BE73" i="20"/>
  <c r="BG71" i="20"/>
  <c r="H12" i="13"/>
  <c r="R31" i="9" s="1"/>
  <c r="H15" i="13"/>
  <c r="R34" i="9" s="1"/>
  <c r="D12" i="13"/>
  <c r="N31" i="9" s="1"/>
  <c r="E14" i="13"/>
  <c r="O33" i="9" s="1"/>
  <c r="F13" i="13"/>
  <c r="P32" i="9" s="1"/>
  <c r="E12" i="13"/>
  <c r="O31" i="9" s="1"/>
  <c r="F14" i="13"/>
  <c r="P33" i="9" s="1"/>
  <c r="C15" i="13"/>
  <c r="M34" i="9" s="1"/>
  <c r="H13" i="13"/>
  <c r="R32" i="9" s="1"/>
  <c r="H14" i="13"/>
  <c r="R33" i="9" s="1"/>
  <c r="F12" i="13"/>
  <c r="P31" i="9" s="1"/>
  <c r="C12" i="13"/>
  <c r="C47" i="2" s="1"/>
  <c r="C13" i="13"/>
  <c r="C39" i="2" s="1"/>
  <c r="D13" i="13"/>
  <c r="N32" i="9" s="1"/>
  <c r="G13" i="13"/>
  <c r="Q32" i="9" s="1"/>
  <c r="G15" i="13"/>
  <c r="Q34" i="9" s="1"/>
  <c r="G14" i="13"/>
  <c r="Q33" i="9" s="1"/>
  <c r="G12" i="13"/>
  <c r="Q31" i="9" s="1"/>
  <c r="E13" i="13"/>
  <c r="O32" i="9" s="1"/>
  <c r="F15" i="13"/>
  <c r="P34" i="9" s="1"/>
  <c r="D14" i="13"/>
  <c r="N33" i="9" s="1"/>
  <c r="C14" i="13"/>
  <c r="M33" i="9" s="1"/>
  <c r="D15" i="13"/>
  <c r="N34" i="9" s="1"/>
  <c r="E15" i="13"/>
  <c r="O34" i="9" s="1"/>
  <c r="A31" i="7"/>
  <c r="B31" i="7"/>
  <c r="C31" i="7"/>
  <c r="D31" i="7"/>
  <c r="E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F31" i="7"/>
  <c r="I29" i="7"/>
  <c r="D28" i="7"/>
  <c r="C28" i="7"/>
  <c r="I28" i="7" s="1"/>
  <c r="D27" i="7"/>
  <c r="C27" i="7"/>
  <c r="M7" i="7"/>
  <c r="L7" i="7"/>
  <c r="N6" i="7"/>
  <c r="L6" i="7"/>
  <c r="K6" i="7"/>
  <c r="N5" i="7"/>
  <c r="M5" i="7"/>
  <c r="K5" i="7"/>
  <c r="M4" i="7"/>
  <c r="L4" i="7"/>
  <c r="BD74" i="20"/>
  <c r="BC74" i="20"/>
  <c r="O19" i="23" l="1"/>
  <c r="BD1" i="20"/>
  <c r="BC1" i="20"/>
  <c r="BI71" i="20"/>
  <c r="BL71" i="20"/>
  <c r="BF72" i="20"/>
  <c r="BF73" i="20" s="1"/>
  <c r="BG72" i="20"/>
  <c r="M31" i="9"/>
  <c r="E2" i="23" s="1"/>
  <c r="D13" i="23" s="1"/>
  <c r="M35" i="9" s="1"/>
  <c r="N12" i="7"/>
  <c r="N19" i="7" s="1"/>
  <c r="M32" i="9"/>
  <c r="N13" i="7"/>
  <c r="N20" i="7" s="1"/>
  <c r="L14" i="7"/>
  <c r="L21" i="7" s="1"/>
  <c r="M14" i="7"/>
  <c r="E27" i="7"/>
  <c r="G27" i="7" s="1"/>
  <c r="I27" i="7"/>
  <c r="E26" i="7"/>
  <c r="G26" i="7" s="1"/>
  <c r="L13" i="7"/>
  <c r="L20" i="7" s="1"/>
  <c r="N18" i="7"/>
  <c r="K21" i="7"/>
  <c r="M12" i="7"/>
  <c r="M19" i="7" s="1"/>
  <c r="E29" i="7"/>
  <c r="G29" i="7" s="1"/>
  <c r="E28" i="7"/>
  <c r="G28" i="7" s="1"/>
  <c r="K13" i="7"/>
  <c r="K20" i="7" s="1"/>
  <c r="F28" i="7"/>
  <c r="L11" i="7"/>
  <c r="L18" i="7" s="1"/>
  <c r="I26" i="7"/>
  <c r="K12" i="7"/>
  <c r="K19" i="7" s="1"/>
  <c r="F27" i="7"/>
  <c r="M11" i="7"/>
  <c r="M18" i="7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  <c r="BE74" i="20"/>
  <c r="BF74" i="20"/>
  <c r="O13" i="23" l="1"/>
  <c r="BE1" i="20"/>
  <c r="BF1" i="20"/>
  <c r="BN71" i="20"/>
  <c r="BI72" i="20"/>
  <c r="BI73" i="20" s="1"/>
  <c r="BH72" i="20"/>
  <c r="BH73" i="20" s="1"/>
  <c r="BG73" i="20"/>
  <c r="BK71" i="20"/>
  <c r="H27" i="7"/>
  <c r="J27" i="7" s="1"/>
  <c r="H28" i="7"/>
  <c r="J28" i="7" s="1"/>
  <c r="H29" i="7"/>
  <c r="J29" i="7" s="1"/>
  <c r="H26" i="7"/>
  <c r="J26" i="7" s="1"/>
  <c r="M21" i="7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2" i="1"/>
  <c r="K54" i="1"/>
  <c r="H70" i="9" s="1"/>
  <c r="D54" i="20" s="1"/>
  <c r="K55" i="1"/>
  <c r="H71" i="9" s="1"/>
  <c r="D55" i="20" s="1"/>
  <c r="K56" i="1"/>
  <c r="K57" i="1"/>
  <c r="H73" i="9" s="1"/>
  <c r="D57" i="20" s="1"/>
  <c r="K50" i="1"/>
  <c r="H66" i="9" s="1"/>
  <c r="D50" i="20" s="1"/>
  <c r="H52" i="1"/>
  <c r="E69" i="9" s="1"/>
  <c r="A52" i="20" s="1"/>
  <c r="H54" i="1"/>
  <c r="E70" i="9" s="1"/>
  <c r="A54" i="20" s="1"/>
  <c r="H55" i="1"/>
  <c r="E71" i="9" s="1"/>
  <c r="A55" i="20" s="1"/>
  <c r="H56" i="1"/>
  <c r="E72" i="9" s="1"/>
  <c r="A56" i="20" s="1"/>
  <c r="H57" i="1"/>
  <c r="E73" i="9" s="1"/>
  <c r="A57" i="20" s="1"/>
  <c r="K3" i="1"/>
  <c r="K4" i="1"/>
  <c r="H18" i="9" s="1"/>
  <c r="D4" i="20" s="1"/>
  <c r="K5" i="1"/>
  <c r="H19" i="9" s="1"/>
  <c r="D5" i="20" s="1"/>
  <c r="K6" i="1"/>
  <c r="H20" i="9" s="1"/>
  <c r="D6" i="20" s="1"/>
  <c r="K7" i="1"/>
  <c r="K8" i="1"/>
  <c r="K9" i="1"/>
  <c r="H21" i="9" s="1"/>
  <c r="D9" i="20" s="1"/>
  <c r="K10" i="1"/>
  <c r="H26" i="9" s="1"/>
  <c r="D10" i="20" s="1"/>
  <c r="K11" i="1"/>
  <c r="H25" i="9" s="1"/>
  <c r="D11" i="20" s="1"/>
  <c r="K12" i="1"/>
  <c r="H27" i="9" s="1"/>
  <c r="D12" i="20" s="1"/>
  <c r="K13" i="1"/>
  <c r="H31" i="9" s="1"/>
  <c r="D13" i="20" s="1"/>
  <c r="K14" i="1"/>
  <c r="K15" i="1"/>
  <c r="H28" i="9" s="1"/>
  <c r="D15" i="20" s="1"/>
  <c r="K16" i="1"/>
  <c r="H30" i="9" s="1"/>
  <c r="D16" i="20" s="1"/>
  <c r="K17" i="1"/>
  <c r="H33" i="9" s="1"/>
  <c r="D17" i="20" s="1"/>
  <c r="K18" i="1"/>
  <c r="H29" i="9" s="1"/>
  <c r="D18" i="20" s="1"/>
  <c r="K19" i="1"/>
  <c r="H32" i="9" s="1"/>
  <c r="D19" i="20" s="1"/>
  <c r="K20" i="1"/>
  <c r="H34" i="9" s="1"/>
  <c r="D20" i="20" s="1"/>
  <c r="K21" i="1"/>
  <c r="H35" i="9" s="1"/>
  <c r="D21" i="20" s="1"/>
  <c r="K22" i="1"/>
  <c r="H39" i="9" s="1"/>
  <c r="D22" i="20" s="1"/>
  <c r="K23" i="1"/>
  <c r="H38" i="9" s="1"/>
  <c r="D23" i="20" s="1"/>
  <c r="K24" i="1"/>
  <c r="H37" i="9" s="1"/>
  <c r="D24" i="20" s="1"/>
  <c r="K25" i="1"/>
  <c r="H36" i="9" s="1"/>
  <c r="D25" i="20" s="1"/>
  <c r="K26" i="1"/>
  <c r="H43" i="9" s="1"/>
  <c r="D26" i="20" s="1"/>
  <c r="K27" i="1"/>
  <c r="H40" i="9" s="1"/>
  <c r="D27" i="20" s="1"/>
  <c r="K28" i="1"/>
  <c r="H41" i="9" s="1"/>
  <c r="D28" i="20" s="1"/>
  <c r="K29" i="1"/>
  <c r="H46" i="9" s="1"/>
  <c r="D29" i="20" s="1"/>
  <c r="K30" i="1"/>
  <c r="H42" i="9" s="1"/>
  <c r="D30" i="20" s="1"/>
  <c r="K31" i="1"/>
  <c r="H45" i="9" s="1"/>
  <c r="D31" i="20" s="1"/>
  <c r="K32" i="1"/>
  <c r="H44" i="9" s="1"/>
  <c r="D32" i="20" s="1"/>
  <c r="K33" i="1"/>
  <c r="H47" i="9" s="1"/>
  <c r="D33" i="20" s="1"/>
  <c r="K34" i="1"/>
  <c r="H50" i="9" s="1"/>
  <c r="D34" i="20" s="1"/>
  <c r="K35" i="1"/>
  <c r="H51" i="9" s="1"/>
  <c r="D35" i="20" s="1"/>
  <c r="K36" i="1"/>
  <c r="H48" i="9" s="1"/>
  <c r="D36" i="20" s="1"/>
  <c r="K37" i="1"/>
  <c r="H49" i="9" s="1"/>
  <c r="D37" i="20" s="1"/>
  <c r="K38" i="1"/>
  <c r="H52" i="9" s="1"/>
  <c r="D38" i="20" s="1"/>
  <c r="K39" i="1"/>
  <c r="H53" i="9" s="1"/>
  <c r="D39" i="20" s="1"/>
  <c r="K40" i="1"/>
  <c r="H54" i="9" s="1"/>
  <c r="D40" i="20" s="1"/>
  <c r="K41" i="1"/>
  <c r="H55" i="9" s="1"/>
  <c r="D41" i="20" s="1"/>
  <c r="K42" i="1"/>
  <c r="H56" i="9" s="1"/>
  <c r="D42" i="20" s="1"/>
  <c r="K43" i="1"/>
  <c r="H57" i="9" s="1"/>
  <c r="D43" i="20" s="1"/>
  <c r="K44" i="1"/>
  <c r="H58" i="9" s="1"/>
  <c r="D44" i="20" s="1"/>
  <c r="K45" i="1"/>
  <c r="H59" i="9" s="1"/>
  <c r="D45" i="20" s="1"/>
  <c r="K46" i="1"/>
  <c r="H62" i="9" s="1"/>
  <c r="D46" i="20" s="1"/>
  <c r="K47" i="1"/>
  <c r="H63" i="9" s="1"/>
  <c r="D47" i="20" s="1"/>
  <c r="K48" i="1"/>
  <c r="H60" i="9" s="1"/>
  <c r="D48" i="20" s="1"/>
  <c r="K49" i="1"/>
  <c r="H61" i="9" s="1"/>
  <c r="D49" i="20" s="1"/>
  <c r="H3" i="1"/>
  <c r="H4" i="1"/>
  <c r="E18" i="9" s="1"/>
  <c r="A4" i="20" s="1"/>
  <c r="H5" i="1"/>
  <c r="E19" i="9" s="1"/>
  <c r="A5" i="20" s="1"/>
  <c r="H6" i="1"/>
  <c r="E20" i="9" s="1"/>
  <c r="A6" i="20" s="1"/>
  <c r="H7" i="1"/>
  <c r="E23" i="9" s="1"/>
  <c r="A7" i="20" s="1"/>
  <c r="H8" i="1"/>
  <c r="E22" i="9" s="1"/>
  <c r="A8" i="20" s="1"/>
  <c r="H9" i="1"/>
  <c r="E21" i="9" s="1"/>
  <c r="A9" i="20" s="1"/>
  <c r="H10" i="1"/>
  <c r="E26" i="9" s="1"/>
  <c r="A10" i="20" s="1"/>
  <c r="H11" i="1"/>
  <c r="E25" i="9" s="1"/>
  <c r="A11" i="20" s="1"/>
  <c r="H12" i="1"/>
  <c r="H13" i="1"/>
  <c r="E31" i="9" s="1"/>
  <c r="A13" i="20" s="1"/>
  <c r="H14" i="1"/>
  <c r="E24" i="9" s="1"/>
  <c r="A14" i="20" s="1"/>
  <c r="H15" i="1"/>
  <c r="E28" i="9" s="1"/>
  <c r="A15" i="20" s="1"/>
  <c r="H16" i="1"/>
  <c r="H17" i="1"/>
  <c r="E33" i="9" s="1"/>
  <c r="A17" i="20" s="1"/>
  <c r="H18" i="1"/>
  <c r="E29" i="9" s="1"/>
  <c r="A18" i="20" s="1"/>
  <c r="H19" i="1"/>
  <c r="E32" i="9" s="1"/>
  <c r="A19" i="20" s="1"/>
  <c r="H20" i="1"/>
  <c r="E34" i="9" s="1"/>
  <c r="A20" i="20" s="1"/>
  <c r="H21" i="1"/>
  <c r="E35" i="9" s="1"/>
  <c r="A21" i="20" s="1"/>
  <c r="H22" i="1"/>
  <c r="E39" i="9" s="1"/>
  <c r="A22" i="20" s="1"/>
  <c r="H23" i="1"/>
  <c r="E38" i="9" s="1"/>
  <c r="A23" i="20" s="1"/>
  <c r="H24" i="1"/>
  <c r="E37" i="9" s="1"/>
  <c r="A24" i="20" s="1"/>
  <c r="H25" i="1"/>
  <c r="E36" i="9" s="1"/>
  <c r="A25" i="20" s="1"/>
  <c r="H26" i="1"/>
  <c r="E43" i="9" s="1"/>
  <c r="A26" i="20" s="1"/>
  <c r="H27" i="1"/>
  <c r="E40" i="9" s="1"/>
  <c r="A27" i="20" s="1"/>
  <c r="H28" i="1"/>
  <c r="E41" i="9" s="1"/>
  <c r="A28" i="20" s="1"/>
  <c r="H29" i="1"/>
  <c r="E46" i="9" s="1"/>
  <c r="A29" i="20" s="1"/>
  <c r="H30" i="1"/>
  <c r="E42" i="9" s="1"/>
  <c r="A30" i="20" s="1"/>
  <c r="H31" i="1"/>
  <c r="E45" i="9" s="1"/>
  <c r="A31" i="20" s="1"/>
  <c r="H32" i="1"/>
  <c r="E44" i="9" s="1"/>
  <c r="A32" i="20" s="1"/>
  <c r="H33" i="1"/>
  <c r="E47" i="9" s="1"/>
  <c r="A33" i="20" s="1"/>
  <c r="H34" i="1"/>
  <c r="E50" i="9" s="1"/>
  <c r="A34" i="20" s="1"/>
  <c r="H35" i="1"/>
  <c r="E51" i="9" s="1"/>
  <c r="A35" i="20" s="1"/>
  <c r="H36" i="1"/>
  <c r="E48" i="9" s="1"/>
  <c r="A36" i="20" s="1"/>
  <c r="H37" i="1"/>
  <c r="E49" i="9" s="1"/>
  <c r="A37" i="20" s="1"/>
  <c r="H38" i="1"/>
  <c r="E52" i="9" s="1"/>
  <c r="A38" i="20" s="1"/>
  <c r="H39" i="1"/>
  <c r="E53" i="9" s="1"/>
  <c r="A39" i="20" s="1"/>
  <c r="H40" i="1"/>
  <c r="E54" i="9" s="1"/>
  <c r="A40" i="20" s="1"/>
  <c r="H41" i="1"/>
  <c r="E55" i="9" s="1"/>
  <c r="A41" i="20" s="1"/>
  <c r="H42" i="1"/>
  <c r="E56" i="9" s="1"/>
  <c r="A42" i="20" s="1"/>
  <c r="H43" i="1"/>
  <c r="E57" i="9" s="1"/>
  <c r="A43" i="20" s="1"/>
  <c r="H44" i="1"/>
  <c r="E58" i="9" s="1"/>
  <c r="A44" i="20" s="1"/>
  <c r="H45" i="1"/>
  <c r="E59" i="9" s="1"/>
  <c r="A45" i="20" s="1"/>
  <c r="H46" i="1"/>
  <c r="E62" i="9" s="1"/>
  <c r="A46" i="20" s="1"/>
  <c r="H47" i="1"/>
  <c r="E63" i="9" s="1"/>
  <c r="A47" i="20" s="1"/>
  <c r="H48" i="1"/>
  <c r="E60" i="9" s="1"/>
  <c r="A48" i="20" s="1"/>
  <c r="H49" i="1"/>
  <c r="E61" i="9" s="1"/>
  <c r="A49" i="20" s="1"/>
  <c r="K2" i="1"/>
  <c r="H2" i="1"/>
  <c r="E16" i="9" s="1"/>
  <c r="A2" i="20" s="1"/>
  <c r="BG74" i="20"/>
  <c r="BH74" i="20"/>
  <c r="E17" i="9" l="1"/>
  <c r="A3" i="20" s="1"/>
  <c r="H17" i="9"/>
  <c r="D3" i="20" s="1"/>
  <c r="E27" i="9"/>
  <c r="A12" i="20" s="1"/>
  <c r="E30" i="9"/>
  <c r="A16" i="20" s="1"/>
  <c r="H23" i="9"/>
  <c r="D7" i="20" s="1"/>
  <c r="H16" i="9"/>
  <c r="D2" i="20" s="1"/>
  <c r="H22" i="9"/>
  <c r="D8" i="20" s="1"/>
  <c r="H24" i="9"/>
  <c r="D14" i="20" s="1"/>
  <c r="H72" i="9"/>
  <c r="D56" i="20" s="1"/>
  <c r="D31" i="1"/>
  <c r="BH1" i="20"/>
  <c r="BG1" i="20"/>
  <c r="BM71" i="20"/>
  <c r="BJ72" i="20"/>
  <c r="BJ73" i="20" s="1"/>
  <c r="BK72" i="20"/>
  <c r="BP71" i="20"/>
  <c r="Q21" i="7"/>
  <c r="Q18" i="7"/>
  <c r="R19" i="7"/>
  <c r="Q20" i="7"/>
  <c r="P19" i="7"/>
  <c r="S19" i="7"/>
  <c r="C58" i="2"/>
  <c r="H59" i="1" s="1"/>
  <c r="E77" i="9" s="1"/>
  <c r="A59" i="20" s="1"/>
  <c r="C61" i="2"/>
  <c r="K61" i="1" s="1"/>
  <c r="H78" i="9" s="1"/>
  <c r="D61" i="20" s="1"/>
  <c r="C60" i="2"/>
  <c r="H61" i="1" s="1"/>
  <c r="E78" i="9" s="1"/>
  <c r="A61" i="20" s="1"/>
  <c r="C59" i="2"/>
  <c r="K59" i="1" s="1"/>
  <c r="H77" i="9" s="1"/>
  <c r="D59" i="20" s="1"/>
  <c r="R21" i="7"/>
  <c r="S20" i="7"/>
  <c r="P20" i="7"/>
  <c r="S18" i="7"/>
  <c r="P21" i="7"/>
  <c r="R18" i="7"/>
  <c r="BI74" i="20"/>
  <c r="BJ74" i="20"/>
  <c r="D32" i="1" l="1"/>
  <c r="BI1" i="20"/>
  <c r="BJ1" i="20"/>
  <c r="BM72" i="20"/>
  <c r="BL72" i="20"/>
  <c r="BL73" i="20" s="1"/>
  <c r="BR71" i="20"/>
  <c r="BK73" i="20"/>
  <c r="BM73" i="20"/>
  <c r="BO71" i="20"/>
  <c r="C63" i="2"/>
  <c r="K62" i="1" s="1"/>
  <c r="H82" i="9" s="1"/>
  <c r="D62" i="20" s="1"/>
  <c r="C65" i="2"/>
  <c r="K63" i="1" s="1"/>
  <c r="H83" i="9" s="1"/>
  <c r="D63" i="20" s="1"/>
  <c r="T21" i="7"/>
  <c r="K29" i="7" s="1"/>
  <c r="L29" i="7" s="1"/>
  <c r="T20" i="7"/>
  <c r="K28" i="7" s="1"/>
  <c r="L28" i="7" s="1"/>
  <c r="T19" i="7"/>
  <c r="K27" i="7" s="1"/>
  <c r="L27" i="7" s="1"/>
  <c r="T18" i="7"/>
  <c r="K26" i="7" s="1"/>
  <c r="L26" i="7" s="1"/>
  <c r="BK74" i="20"/>
  <c r="BL74" i="20"/>
  <c r="D33" i="1" l="1"/>
  <c r="BL1" i="20"/>
  <c r="BK1" i="20"/>
  <c r="BQ71" i="20"/>
  <c r="BT71" i="20"/>
  <c r="BN72" i="20"/>
  <c r="BN73" i="20" s="1"/>
  <c r="BO72" i="20"/>
  <c r="Q11" i="7"/>
  <c r="R12" i="7"/>
  <c r="P12" i="7"/>
  <c r="S12" i="7"/>
  <c r="Q13" i="7"/>
  <c r="Q14" i="7"/>
  <c r="S11" i="7"/>
  <c r="P14" i="7"/>
  <c r="S13" i="7"/>
  <c r="P13" i="7"/>
  <c r="R14" i="7"/>
  <c r="R11" i="7"/>
  <c r="BM74" i="20"/>
  <c r="BN74" i="20"/>
  <c r="D34" i="1" l="1"/>
  <c r="BM1" i="20"/>
  <c r="BN1" i="20"/>
  <c r="BQ72" i="20"/>
  <c r="BQ73" i="20" s="1"/>
  <c r="BP72" i="20"/>
  <c r="BP73" i="20" s="1"/>
  <c r="BO73" i="20"/>
  <c r="BS71" i="20"/>
  <c r="BV71" i="20"/>
  <c r="T14" i="7"/>
  <c r="M29" i="7" s="1"/>
  <c r="N29" i="7" s="1"/>
  <c r="T13" i="7"/>
  <c r="M28" i="7" s="1"/>
  <c r="N28" i="7" s="1"/>
  <c r="T11" i="7"/>
  <c r="M26" i="7" s="1"/>
  <c r="N26" i="7" s="1"/>
  <c r="T12" i="7"/>
  <c r="BP74" i="20"/>
  <c r="BO74" i="20"/>
  <c r="D35" i="1" l="1"/>
  <c r="BO1" i="20"/>
  <c r="BP1" i="20"/>
  <c r="BX71" i="20"/>
  <c r="BU71" i="20"/>
  <c r="BR72" i="20"/>
  <c r="BR73" i="20" s="1"/>
  <c r="BS72" i="20"/>
  <c r="BS73" i="20" s="1"/>
  <c r="R7" i="7"/>
  <c r="P7" i="7"/>
  <c r="S6" i="7"/>
  <c r="M27" i="7"/>
  <c r="N27" i="7" s="1"/>
  <c r="S4" i="7"/>
  <c r="R4" i="7"/>
  <c r="P6" i="7"/>
  <c r="BR74" i="20"/>
  <c r="BQ74" i="20"/>
  <c r="D36" i="1" l="1"/>
  <c r="BQ1" i="20"/>
  <c r="BR1" i="20"/>
  <c r="BW71" i="20"/>
  <c r="BU72" i="20"/>
  <c r="BU73" i="20" s="1"/>
  <c r="BT72" i="20"/>
  <c r="BT73" i="20" s="1"/>
  <c r="BZ71" i="20"/>
  <c r="R5" i="7"/>
  <c r="S5" i="7"/>
  <c r="P5" i="7"/>
  <c r="Q6" i="7"/>
  <c r="T6" i="7" s="1"/>
  <c r="Q7" i="7"/>
  <c r="T7" i="7" s="1"/>
  <c r="O29" i="7" s="1"/>
  <c r="Q4" i="7"/>
  <c r="T4" i="7" s="1"/>
  <c r="O26" i="7" s="1"/>
  <c r="BT74" i="20"/>
  <c r="BS74" i="20"/>
  <c r="D37" i="1" l="1"/>
  <c r="BS1" i="20"/>
  <c r="BT1" i="20"/>
  <c r="BY71" i="20"/>
  <c r="CB71" i="20"/>
  <c r="BV72" i="20"/>
  <c r="BV73" i="20" s="1"/>
  <c r="BW72" i="20"/>
  <c r="T5" i="7"/>
  <c r="O27" i="7" s="1"/>
  <c r="P27" i="7" s="1"/>
  <c r="O28" i="7"/>
  <c r="P28" i="7" s="1"/>
  <c r="U28" i="7" s="1"/>
  <c r="P29" i="7"/>
  <c r="U29" i="7" s="1"/>
  <c r="P26" i="7"/>
  <c r="BU74" i="20"/>
  <c r="BV74" i="20"/>
  <c r="D38" i="1" l="1"/>
  <c r="BU1" i="20"/>
  <c r="BV1" i="20"/>
  <c r="CD71" i="20"/>
  <c r="BY72" i="20"/>
  <c r="BY73" i="20" s="1"/>
  <c r="BX72" i="20"/>
  <c r="BX73" i="20" s="1"/>
  <c r="BW73" i="20"/>
  <c r="CA71" i="20"/>
  <c r="U27" i="7"/>
  <c r="U26" i="7"/>
  <c r="BX74" i="20"/>
  <c r="BW74" i="20"/>
  <c r="D39" i="1" l="1"/>
  <c r="BW1" i="20"/>
  <c r="BX1" i="20"/>
  <c r="CC71" i="20"/>
  <c r="BZ72" i="20"/>
  <c r="BZ73" i="20" s="1"/>
  <c r="CA72" i="20"/>
  <c r="CA73" i="20" s="1"/>
  <c r="CF71" i="20"/>
  <c r="V27" i="7"/>
  <c r="V26" i="7"/>
  <c r="V28" i="7"/>
  <c r="V29" i="7"/>
  <c r="BZ74" i="20"/>
  <c r="BY74" i="20"/>
  <c r="D40" i="1" l="1"/>
  <c r="BY1" i="20"/>
  <c r="BZ1" i="20"/>
  <c r="CH71" i="20"/>
  <c r="CC72" i="20"/>
  <c r="CC73" i="20" s="1"/>
  <c r="CB72" i="20"/>
  <c r="CB73" i="20" s="1"/>
  <c r="CE71" i="20"/>
  <c r="W27" i="7"/>
  <c r="W26" i="7"/>
  <c r="J18" i="7"/>
  <c r="P10" i="7"/>
  <c r="P3" i="7"/>
  <c r="K3" i="7"/>
  <c r="J4" i="7"/>
  <c r="B5" i="7"/>
  <c r="P17" i="7"/>
  <c r="K17" i="7"/>
  <c r="B3" i="7"/>
  <c r="K10" i="7"/>
  <c r="D7" i="7"/>
  <c r="J11" i="7"/>
  <c r="A26" i="7"/>
  <c r="Q17" i="7"/>
  <c r="L17" i="7"/>
  <c r="J12" i="7"/>
  <c r="L10" i="7"/>
  <c r="D8" i="7"/>
  <c r="B6" i="7"/>
  <c r="Q3" i="7"/>
  <c r="L3" i="7"/>
  <c r="D3" i="7"/>
  <c r="J5" i="7"/>
  <c r="J19" i="7"/>
  <c r="Q10" i="7"/>
  <c r="A27" i="7"/>
  <c r="R17" i="7"/>
  <c r="R3" i="7"/>
  <c r="D5" i="7"/>
  <c r="J6" i="7"/>
  <c r="M10" i="7"/>
  <c r="J13" i="7"/>
  <c r="B4" i="7"/>
  <c r="M3" i="7"/>
  <c r="B8" i="7"/>
  <c r="M17" i="7"/>
  <c r="R10" i="7"/>
  <c r="J20" i="7"/>
  <c r="A28" i="7"/>
  <c r="S10" i="7"/>
  <c r="J21" i="7"/>
  <c r="S17" i="7"/>
  <c r="S3" i="7"/>
  <c r="D6" i="7"/>
  <c r="B7" i="7"/>
  <c r="N10" i="7"/>
  <c r="J14" i="7"/>
  <c r="N17" i="7"/>
  <c r="D4" i="7"/>
  <c r="N3" i="7"/>
  <c r="J7" i="7"/>
  <c r="A29" i="7"/>
  <c r="CB74" i="20"/>
  <c r="CA74" i="20"/>
  <c r="D41" i="1" l="1"/>
  <c r="CB1" i="20"/>
  <c r="CA1" i="20"/>
  <c r="CD72" i="20"/>
  <c r="CD73" i="20" s="1"/>
  <c r="CE72" i="20"/>
  <c r="CE73" i="20" s="1"/>
  <c r="CG71" i="20"/>
  <c r="CJ71" i="20"/>
  <c r="W28" i="7"/>
  <c r="B28" i="7"/>
  <c r="B27" i="7"/>
  <c r="CC74" i="20"/>
  <c r="CD74" i="20"/>
  <c r="D42" i="1" l="1"/>
  <c r="CC1" i="20"/>
  <c r="CD1" i="20"/>
  <c r="CI71" i="20"/>
  <c r="CL71" i="20"/>
  <c r="CG72" i="20"/>
  <c r="CF72" i="20"/>
  <c r="CF73" i="20" s="1"/>
  <c r="Q27" i="7"/>
  <c r="R27" i="7" s="1"/>
  <c r="T27" i="7" s="1"/>
  <c r="I16" i="7"/>
  <c r="X27" i="7"/>
  <c r="X29" i="7"/>
  <c r="Q28" i="7"/>
  <c r="R28" i="7" s="1"/>
  <c r="T28" i="7" s="1"/>
  <c r="X28" i="7"/>
  <c r="Q26" i="7"/>
  <c r="R26" i="7" s="1"/>
  <c r="Q29" i="7"/>
  <c r="R29" i="7" s="1"/>
  <c r="T29" i="7" s="1"/>
  <c r="X26" i="7"/>
  <c r="CF74" i="20"/>
  <c r="CE74" i="20"/>
  <c r="D43" i="1" l="1"/>
  <c r="CE1" i="20"/>
  <c r="CF1" i="20"/>
  <c r="CN71" i="20"/>
  <c r="CK71" i="20"/>
  <c r="CH72" i="20"/>
  <c r="CH73" i="20" s="1"/>
  <c r="CI72" i="20"/>
  <c r="CI73" i="20" s="1"/>
  <c r="CG73" i="20"/>
  <c r="S27" i="7"/>
  <c r="T26" i="7"/>
  <c r="S29" i="7"/>
  <c r="S28" i="7"/>
  <c r="S26" i="7"/>
  <c r="CH74" i="20"/>
  <c r="CG74" i="20"/>
  <c r="D44" i="1" l="1"/>
  <c r="CG1" i="20"/>
  <c r="CH1" i="20"/>
  <c r="CM71" i="20"/>
  <c r="CK72" i="20"/>
  <c r="CJ72" i="20"/>
  <c r="CJ73" i="20" s="1"/>
  <c r="CP71" i="20"/>
  <c r="G15" i="7"/>
  <c r="Q28" i="9" s="1"/>
  <c r="C15" i="7"/>
  <c r="M28" i="9" s="1"/>
  <c r="E14" i="7"/>
  <c r="O27" i="9" s="1"/>
  <c r="E13" i="7"/>
  <c r="O26" i="9" s="1"/>
  <c r="G12" i="7"/>
  <c r="Q25" i="9" s="1"/>
  <c r="C12" i="7"/>
  <c r="H14" i="7"/>
  <c r="R27" i="9" s="1"/>
  <c r="H13" i="7"/>
  <c r="R26" i="9" s="1"/>
  <c r="E15" i="7"/>
  <c r="O28" i="9" s="1"/>
  <c r="G14" i="7"/>
  <c r="Q27" i="9" s="1"/>
  <c r="C14" i="7"/>
  <c r="M27" i="9" s="1"/>
  <c r="G13" i="7"/>
  <c r="Q26" i="9" s="1"/>
  <c r="C13" i="7"/>
  <c r="C38" i="2" s="1"/>
  <c r="E12" i="7"/>
  <c r="O25" i="9" s="1"/>
  <c r="H15" i="7"/>
  <c r="R28" i="9" s="1"/>
  <c r="D15" i="7"/>
  <c r="N28" i="9" s="1"/>
  <c r="F14" i="7"/>
  <c r="P27" i="9" s="1"/>
  <c r="F13" i="7"/>
  <c r="P26" i="9" s="1"/>
  <c r="H12" i="7"/>
  <c r="R25" i="9" s="1"/>
  <c r="D12" i="7"/>
  <c r="N25" i="9" s="1"/>
  <c r="F15" i="7"/>
  <c r="P28" i="9" s="1"/>
  <c r="D14" i="7"/>
  <c r="N27" i="9" s="1"/>
  <c r="D13" i="7"/>
  <c r="N26" i="9" s="1"/>
  <c r="F12" i="7"/>
  <c r="P25" i="9" s="1"/>
  <c r="CI74" i="20"/>
  <c r="CJ74" i="20"/>
  <c r="D45" i="1" l="1"/>
  <c r="CJ1" i="20"/>
  <c r="CI1" i="20"/>
  <c r="CL72" i="20"/>
  <c r="CL73" i="20" s="1"/>
  <c r="CM72" i="20"/>
  <c r="CO71" i="20"/>
  <c r="CR71" i="20"/>
  <c r="CK73" i="20"/>
  <c r="M25" i="9"/>
  <c r="E1" i="23" s="1"/>
  <c r="D12" i="23" s="1"/>
  <c r="M29" i="9" s="1"/>
  <c r="C46" i="2"/>
  <c r="H50" i="1" s="1"/>
  <c r="E66" i="9" s="1"/>
  <c r="M26" i="9"/>
  <c r="K52" i="1"/>
  <c r="H69" i="9" s="1"/>
  <c r="CK74" i="20"/>
  <c r="CL74" i="20"/>
  <c r="O12" i="23" l="1"/>
  <c r="D46" i="1"/>
  <c r="CK1" i="20"/>
  <c r="CL1" i="20"/>
  <c r="CT71" i="20"/>
  <c r="CO72" i="20"/>
  <c r="CN72" i="20"/>
  <c r="CN73" i="20" s="1"/>
  <c r="CM73" i="20"/>
  <c r="CQ71" i="20"/>
  <c r="C56" i="2"/>
  <c r="H60" i="1" s="1"/>
  <c r="E79" i="9" s="1"/>
  <c r="A60" i="20" s="1"/>
  <c r="D52" i="20"/>
  <c r="C54" i="2"/>
  <c r="H58" i="1" s="1"/>
  <c r="E76" i="9" s="1"/>
  <c r="A58" i="20" s="1"/>
  <c r="A50" i="20"/>
  <c r="M10" i="14"/>
  <c r="J6" i="14"/>
  <c r="R3" i="14"/>
  <c r="R17" i="14"/>
  <c r="B8" i="14"/>
  <c r="M3" i="14"/>
  <c r="M17" i="14"/>
  <c r="J20" i="14"/>
  <c r="J13" i="14"/>
  <c r="B4" i="14"/>
  <c r="R10" i="14"/>
  <c r="D5" i="14"/>
  <c r="A28" i="14"/>
  <c r="CN74" i="20"/>
  <c r="CM74" i="20"/>
  <c r="D47" i="1" l="1"/>
  <c r="CN1" i="20"/>
  <c r="CM1" i="20"/>
  <c r="CP72" i="20"/>
  <c r="CP73" i="20" s="1"/>
  <c r="CQ72" i="20"/>
  <c r="CQ73" i="20" s="1"/>
  <c r="CS71" i="20"/>
  <c r="CO73" i="20"/>
  <c r="CV71" i="20"/>
  <c r="Q28" i="14"/>
  <c r="R28" i="14" s="1"/>
  <c r="X28" i="14"/>
  <c r="CP74" i="20"/>
  <c r="CO74" i="20"/>
  <c r="D48" i="1" l="1"/>
  <c r="CO1" i="20"/>
  <c r="CP1" i="20"/>
  <c r="CU71" i="20"/>
  <c r="CS72" i="20"/>
  <c r="CR72" i="20"/>
  <c r="CR73" i="20" s="1"/>
  <c r="S28" i="14"/>
  <c r="S27" i="14"/>
  <c r="T28" i="14"/>
  <c r="S29" i="14"/>
  <c r="S26" i="14"/>
  <c r="CQ74" i="20"/>
  <c r="CR74" i="20"/>
  <c r="D49" i="1" l="1"/>
  <c r="CR1" i="20"/>
  <c r="CQ1" i="20"/>
  <c r="CT72" i="20"/>
  <c r="CT73" i="20" s="1"/>
  <c r="CU72" i="20"/>
  <c r="CS73" i="20"/>
  <c r="G14" i="14"/>
  <c r="Q39" i="9" s="1"/>
  <c r="E15" i="14"/>
  <c r="O40" i="9" s="1"/>
  <c r="E13" i="14"/>
  <c r="O38" i="9" s="1"/>
  <c r="G13" i="14"/>
  <c r="Q38" i="9" s="1"/>
  <c r="D13" i="14"/>
  <c r="N38" i="9" s="1"/>
  <c r="F12" i="14"/>
  <c r="P37" i="9" s="1"/>
  <c r="E14" i="14"/>
  <c r="O39" i="9" s="1"/>
  <c r="D15" i="14"/>
  <c r="N40" i="9" s="1"/>
  <c r="E12" i="14"/>
  <c r="O37" i="9" s="1"/>
  <c r="D14" i="14"/>
  <c r="N39" i="9" s="1"/>
  <c r="H13" i="14"/>
  <c r="R38" i="9" s="1"/>
  <c r="C14" i="14"/>
  <c r="M39" i="9" s="1"/>
  <c r="G15" i="14"/>
  <c r="Q40" i="9" s="1"/>
  <c r="H12" i="14"/>
  <c r="R37" i="9" s="1"/>
  <c r="F15" i="14"/>
  <c r="P40" i="9" s="1"/>
  <c r="G12" i="14"/>
  <c r="Q37" i="9" s="1"/>
  <c r="H15" i="14"/>
  <c r="R40" i="9" s="1"/>
  <c r="F13" i="14"/>
  <c r="P38" i="9" s="1"/>
  <c r="C15" i="14"/>
  <c r="M40" i="9" s="1"/>
  <c r="D12" i="14"/>
  <c r="N37" i="9" s="1"/>
  <c r="H14" i="14"/>
  <c r="R39" i="9" s="1"/>
  <c r="F14" i="14"/>
  <c r="P39" i="9" s="1"/>
  <c r="C13" i="14"/>
  <c r="C40" i="2" s="1"/>
  <c r="C12" i="14"/>
  <c r="C48" i="2" s="1"/>
  <c r="CT74" i="20"/>
  <c r="CS74" i="20"/>
  <c r="E51" i="1" l="1"/>
  <c r="D50" i="1"/>
  <c r="CS1" i="20"/>
  <c r="CT1" i="20"/>
  <c r="CW72" i="20"/>
  <c r="CV72" i="20"/>
  <c r="CU73" i="20"/>
  <c r="M37" i="9"/>
  <c r="E3" i="23" s="1"/>
  <c r="D14" i="23" s="1"/>
  <c r="M41" i="9" s="1"/>
  <c r="H51" i="1"/>
  <c r="E67" i="9" s="1"/>
  <c r="M38" i="9"/>
  <c r="K53" i="1" s="1"/>
  <c r="H68" i="9" s="1"/>
  <c r="CU74" i="20"/>
  <c r="O14" i="23" l="1"/>
  <c r="E52" i="1"/>
  <c r="D51" i="1"/>
  <c r="CU1" i="20"/>
  <c r="CV73" i="20"/>
  <c r="CX72" i="20"/>
  <c r="CY72" i="20" s="1"/>
  <c r="CW73" i="20"/>
  <c r="D53" i="20"/>
  <c r="C55" i="2"/>
  <c r="K58" i="1" s="1"/>
  <c r="H76" i="9" s="1"/>
  <c r="A51" i="20"/>
  <c r="C66" i="2"/>
  <c r="H65" i="1" s="1"/>
  <c r="E89" i="9" s="1"/>
  <c r="CV74" i="20"/>
  <c r="CW74" i="20"/>
  <c r="A74" i="20"/>
  <c r="A65" i="20" l="1"/>
  <c r="E53" i="1"/>
  <c r="D52" i="1"/>
  <c r="CW1" i="20"/>
  <c r="CV1" i="20"/>
  <c r="A1" i="20"/>
  <c r="A1" i="9" s="1"/>
  <c r="CZ72" i="20"/>
  <c r="CY73" i="20"/>
  <c r="CX73" i="20"/>
  <c r="C62" i="2"/>
  <c r="H62" i="1" s="1"/>
  <c r="E82" i="9" s="1"/>
  <c r="D58" i="20"/>
  <c r="C64" i="2"/>
  <c r="H63" i="1" s="1"/>
  <c r="E83" i="9" s="1"/>
  <c r="C35" i="2" s="1"/>
  <c r="K64" i="1" s="1"/>
  <c r="H86" i="9" s="1"/>
  <c r="D64" i="20" s="1"/>
  <c r="CX74" i="20"/>
  <c r="CY74" i="20"/>
  <c r="E54" i="1" l="1"/>
  <c r="D53" i="1"/>
  <c r="C68" i="2"/>
  <c r="H93" i="9" s="1"/>
  <c r="A63" i="20"/>
  <c r="C67" i="2"/>
  <c r="K65" i="1" s="1"/>
  <c r="H89" i="9" s="1"/>
  <c r="A1" i="23" s="1"/>
  <c r="A62" i="20"/>
  <c r="C34" i="2"/>
  <c r="H64" i="1" s="1"/>
  <c r="E86" i="9" s="1"/>
  <c r="CX1" i="20"/>
  <c r="CY1" i="20"/>
  <c r="DA72" i="20"/>
  <c r="CZ73" i="20"/>
  <c r="CZ74" i="20"/>
  <c r="A2" i="23" l="1"/>
  <c r="B12" i="9" s="1"/>
  <c r="I91" i="9"/>
  <c r="C69" i="2"/>
  <c r="H91" i="9" s="1"/>
  <c r="A15" i="23"/>
  <c r="E55" i="1"/>
  <c r="D54" i="1"/>
  <c r="D65" i="20"/>
  <c r="C37" i="2"/>
  <c r="H92" i="9" s="1"/>
  <c r="A64" i="20"/>
  <c r="C36" i="2"/>
  <c r="H94" i="9" s="1"/>
  <c r="CZ1" i="20"/>
  <c r="DC72" i="20"/>
  <c r="DC73" i="20" s="1"/>
  <c r="DB72" i="20"/>
  <c r="DA73" i="20"/>
  <c r="DA74" i="20"/>
  <c r="DC74" i="20"/>
  <c r="E56" i="1" l="1"/>
  <c r="D55" i="1"/>
  <c r="DA1" i="20"/>
  <c r="DC1" i="20"/>
  <c r="DD72" i="20"/>
  <c r="DB73" i="20"/>
  <c r="DB74" i="20"/>
  <c r="E57" i="1" l="1"/>
  <c r="D56" i="1"/>
  <c r="DB1" i="20"/>
  <c r="DE72" i="20"/>
  <c r="DD73" i="20"/>
  <c r="DD74" i="20"/>
  <c r="E58" i="1" l="1"/>
  <c r="D57" i="1"/>
  <c r="DD1" i="20"/>
  <c r="DF72" i="20"/>
  <c r="DE73" i="20"/>
  <c r="DE74" i="20"/>
  <c r="D58" i="1" l="1"/>
  <c r="E59" i="1"/>
  <c r="DE1" i="20"/>
  <c r="DG72" i="20"/>
  <c r="DF73" i="20"/>
  <c r="E60" i="1" l="1"/>
  <c r="D59" i="1"/>
  <c r="DH72" i="20"/>
  <c r="DI72" i="20"/>
  <c r="DI73" i="20" s="1"/>
  <c r="DG73" i="20"/>
  <c r="DG74" i="20"/>
  <c r="DI74" i="20"/>
  <c r="E61" i="1" l="1"/>
  <c r="D60" i="1"/>
  <c r="DI1" i="20"/>
  <c r="DG1" i="20"/>
  <c r="DH73" i="20"/>
  <c r="DJ72" i="20"/>
  <c r="DH74" i="20"/>
  <c r="E62" i="1" l="1"/>
  <c r="D61" i="1"/>
  <c r="DH1" i="20"/>
  <c r="DK72" i="20"/>
  <c r="DJ73" i="20"/>
  <c r="DJ74" i="20"/>
  <c r="E63" i="1" l="1"/>
  <c r="D62" i="1"/>
  <c r="DJ1" i="20"/>
  <c r="DK73" i="20"/>
  <c r="DL72" i="20"/>
  <c r="DK74" i="20"/>
  <c r="E64" i="1" l="1"/>
  <c r="D63" i="1"/>
  <c r="DK1" i="20"/>
  <c r="DM72" i="20"/>
  <c r="DL73" i="20"/>
  <c r="DL74" i="20"/>
  <c r="E65" i="1" l="1"/>
  <c r="B6" i="9" s="1"/>
  <c r="D64" i="1"/>
  <c r="DL1" i="20"/>
  <c r="DO72" i="20"/>
  <c r="DO73" i="20" s="1"/>
  <c r="DN72" i="20"/>
  <c r="DM73" i="20"/>
  <c r="DM74" i="20"/>
  <c r="D65" i="1" l="1"/>
  <c r="DM1" i="20"/>
  <c r="DN73" i="20"/>
  <c r="DP72" i="20"/>
  <c r="DN74" i="20"/>
  <c r="DN1" i="20" l="1"/>
  <c r="DQ72" i="20"/>
  <c r="DP73" i="20"/>
  <c r="DP74" i="20"/>
  <c r="DP1" i="20" l="1"/>
  <c r="DQ73" i="20"/>
  <c r="DR72" i="20"/>
  <c r="DQ74" i="20"/>
  <c r="DQ1" i="20" l="1"/>
  <c r="DS72" i="20"/>
  <c r="DR73" i="20"/>
  <c r="DR74" i="20"/>
  <c r="DR1" i="20" l="1"/>
  <c r="DT72" i="20"/>
  <c r="DS73" i="20"/>
  <c r="DU72" i="20"/>
  <c r="DU73" i="20" s="1"/>
  <c r="DU74" i="20"/>
  <c r="DS74" i="20"/>
  <c r="DS1" i="20" l="1"/>
  <c r="DU1" i="20"/>
  <c r="DT73" i="20"/>
  <c r="DV72" i="20"/>
  <c r="DT74" i="20"/>
  <c r="DT1" i="20" l="1"/>
  <c r="DW72" i="20"/>
  <c r="DV73" i="20"/>
  <c r="DV74" i="20"/>
  <c r="DV1" i="20" l="1"/>
  <c r="DX72" i="20"/>
  <c r="DW73" i="20"/>
  <c r="DW74" i="20"/>
  <c r="DW1" i="20" l="1"/>
  <c r="DY72" i="20"/>
  <c r="DX73" i="20"/>
  <c r="DX74" i="20"/>
  <c r="DX1" i="20" l="1"/>
  <c r="EA72" i="20"/>
  <c r="EA73" i="20" s="1"/>
  <c r="DZ72" i="20"/>
  <c r="DY73" i="20"/>
  <c r="EA74" i="20"/>
  <c r="DY74" i="20"/>
  <c r="DY1" i="20" l="1"/>
  <c r="EA1" i="20"/>
  <c r="DZ73" i="20"/>
  <c r="EB72" i="20"/>
  <c r="DZ74" i="20"/>
  <c r="DZ1" i="20" l="1"/>
  <c r="EC72" i="20"/>
  <c r="EB73" i="20"/>
  <c r="EB74" i="20"/>
  <c r="EB1" i="20" l="1"/>
  <c r="ED72" i="20"/>
  <c r="EC73" i="20"/>
  <c r="EC74" i="20"/>
  <c r="EC1" i="20" l="1"/>
  <c r="EE72" i="20"/>
  <c r="ED73" i="20"/>
  <c r="ED74" i="20"/>
  <c r="ED1" i="20" l="1"/>
  <c r="EF72" i="20"/>
  <c r="EE73" i="20"/>
  <c r="EG72" i="20"/>
  <c r="EG73" i="20" s="1"/>
  <c r="EE74" i="20"/>
  <c r="EG74" i="20"/>
  <c r="EG1" i="20" l="1"/>
  <c r="EE1" i="20"/>
  <c r="EF73" i="20"/>
  <c r="EH72" i="20"/>
  <c r="EF74" i="20"/>
  <c r="EF1" i="20" l="1"/>
  <c r="EI72" i="20"/>
  <c r="EH73" i="20"/>
  <c r="EH74" i="20"/>
  <c r="EH1" i="20" l="1"/>
  <c r="EJ72" i="20"/>
  <c r="EI73" i="20"/>
  <c r="EI74" i="20"/>
  <c r="EI1" i="20" l="1"/>
  <c r="EK72" i="20"/>
  <c r="EJ73" i="20"/>
  <c r="EJ74" i="20"/>
  <c r="EJ1" i="20" l="1"/>
  <c r="EM72" i="20"/>
  <c r="EM73" i="20" s="1"/>
  <c r="EL72" i="20"/>
  <c r="EK73" i="20"/>
  <c r="EK74" i="20"/>
  <c r="EM74" i="20"/>
  <c r="EK1" i="20" l="1"/>
  <c r="EM1" i="20"/>
  <c r="EL73" i="20"/>
  <c r="EN72" i="20"/>
  <c r="EL74" i="20"/>
  <c r="EL1" i="20" l="1"/>
  <c r="EO72" i="20"/>
  <c r="EN73" i="20"/>
  <c r="EN74" i="20"/>
  <c r="EN1" i="20" l="1"/>
  <c r="EO73" i="20"/>
  <c r="EP72" i="20"/>
  <c r="EO74" i="20"/>
  <c r="EO1" i="20" l="1"/>
  <c r="EQ72" i="20"/>
  <c r="EP73" i="20"/>
  <c r="EP74" i="20"/>
  <c r="EP1" i="20" l="1"/>
  <c r="ER72" i="20"/>
  <c r="EQ73" i="20"/>
  <c r="ES72" i="20"/>
  <c r="ES73" i="20" s="1"/>
  <c r="ES74" i="20"/>
  <c r="EQ74" i="20"/>
  <c r="ES1" i="20" l="1"/>
  <c r="EQ1" i="20"/>
  <c r="ER73" i="20"/>
  <c r="ET72" i="20"/>
  <c r="ER74" i="20"/>
  <c r="ER1" i="20" l="1"/>
  <c r="EU72" i="20"/>
  <c r="ET73" i="20"/>
  <c r="ET74" i="20"/>
  <c r="ET1" i="20" l="1"/>
  <c r="EU73" i="20"/>
  <c r="EV72" i="20"/>
  <c r="EU74" i="20"/>
  <c r="EU1" i="20" l="1"/>
  <c r="EW72" i="20"/>
  <c r="EV73" i="20"/>
  <c r="EV74" i="20"/>
  <c r="EV1" i="20" l="1"/>
  <c r="EY72" i="20"/>
  <c r="EY73" i="20" s="1"/>
  <c r="EX72" i="20"/>
  <c r="EW73" i="20"/>
  <c r="EY74" i="20"/>
  <c r="EW74" i="20"/>
  <c r="EW1" i="20" l="1"/>
  <c r="EY1" i="20"/>
  <c r="EX73" i="20"/>
  <c r="EZ72" i="20"/>
  <c r="EX74" i="20"/>
  <c r="EX1" i="20" l="1"/>
  <c r="FA72" i="20"/>
  <c r="EZ73" i="20"/>
  <c r="EZ74" i="20"/>
  <c r="EZ1" i="20" l="1"/>
  <c r="FA73" i="20"/>
  <c r="FB72" i="20"/>
  <c r="FA74" i="20"/>
  <c r="FA1" i="20" l="1"/>
  <c r="FC72" i="20"/>
  <c r="FB73" i="20"/>
  <c r="FB74" i="20"/>
  <c r="FB1" i="20" l="1"/>
  <c r="FC73" i="20"/>
  <c r="FD72" i="20"/>
  <c r="FE72" i="20"/>
  <c r="FE73" i="20" s="1"/>
  <c r="FE74" i="20"/>
  <c r="FC74" i="20"/>
  <c r="FE1" i="20" l="1"/>
  <c r="FC1" i="20"/>
  <c r="FD73" i="20"/>
  <c r="FF72" i="20"/>
  <c r="FD74" i="20"/>
  <c r="FD1" i="20" l="1"/>
  <c r="FG72" i="20"/>
  <c r="FF73" i="20"/>
  <c r="FF74" i="20"/>
  <c r="FF1" i="20" l="1"/>
  <c r="FH72" i="20"/>
  <c r="FG73" i="20"/>
  <c r="FG74" i="20"/>
  <c r="FG1" i="20" l="1"/>
  <c r="FI72" i="20"/>
  <c r="FH73" i="20"/>
  <c r="FK72" i="20" l="1"/>
  <c r="FK73" i="20" s="1"/>
  <c r="FI73" i="20"/>
  <c r="FJ72" i="20"/>
  <c r="FI74" i="20"/>
  <c r="FK74" i="20"/>
  <c r="FI1" i="20" l="1"/>
  <c r="FK1" i="20"/>
  <c r="FL72" i="20"/>
  <c r="FJ73" i="20"/>
  <c r="FJ74" i="20"/>
  <c r="FJ1" i="20" l="1"/>
  <c r="FL73" i="20"/>
  <c r="FM72" i="20"/>
  <c r="FL74" i="20"/>
  <c r="FL1" i="20" l="1"/>
  <c r="FN72" i="20"/>
  <c r="FM73" i="20"/>
  <c r="FM74" i="20"/>
  <c r="FM1" i="20" l="1"/>
  <c r="FO72" i="20"/>
  <c r="FN73" i="20"/>
  <c r="FN74" i="20"/>
  <c r="FN1" i="20" l="1"/>
  <c r="FQ72" i="20"/>
  <c r="FQ73" i="20" s="1"/>
  <c r="FP72" i="20"/>
  <c r="FO73" i="20"/>
  <c r="FQ74" i="20"/>
  <c r="FO74" i="20"/>
  <c r="FO1" i="20" l="1"/>
  <c r="FQ1" i="20"/>
  <c r="FP73" i="20"/>
  <c r="FR72" i="20"/>
  <c r="FP74" i="20"/>
  <c r="FP1" i="20" l="1"/>
  <c r="FS72" i="20"/>
  <c r="FR73" i="20"/>
  <c r="FR74" i="20"/>
  <c r="FR1" i="20" l="1"/>
  <c r="FS73" i="20"/>
  <c r="FT72" i="20"/>
  <c r="FS74" i="20"/>
  <c r="FS1" i="20" l="1"/>
  <c r="FT73" i="20"/>
  <c r="FU72" i="20"/>
  <c r="FT74" i="20"/>
  <c r="FT1" i="20" l="1"/>
  <c r="FV72" i="20"/>
  <c r="FW72" i="20"/>
  <c r="FW73" i="20" s="1"/>
  <c r="FU73" i="20"/>
  <c r="FU74" i="20"/>
  <c r="FW74" i="20"/>
  <c r="FW1" i="20" l="1"/>
  <c r="FU1" i="20"/>
  <c r="FX72" i="20"/>
  <c r="FV73" i="20"/>
  <c r="FV74" i="20"/>
  <c r="FV1" i="20" l="1"/>
  <c r="FY72" i="20"/>
  <c r="FX73" i="20"/>
  <c r="FX74" i="20"/>
  <c r="FX1" i="20" l="1"/>
  <c r="FZ72" i="20"/>
  <c r="FY73" i="20"/>
  <c r="FY74" i="20"/>
  <c r="FY1" i="20" l="1"/>
  <c r="GA72" i="20"/>
  <c r="FZ73" i="20"/>
  <c r="FZ74" i="20"/>
  <c r="FZ1" i="20" l="1"/>
  <c r="GA73" i="20"/>
  <c r="GB72" i="20"/>
  <c r="GC72" i="20"/>
  <c r="GC73" i="20" s="1"/>
  <c r="GC74" i="20"/>
  <c r="GA74" i="20"/>
  <c r="GC1" i="20" l="1"/>
  <c r="GA1" i="20"/>
  <c r="GB73" i="20"/>
  <c r="GD72" i="20"/>
  <c r="GB74" i="20"/>
  <c r="GB1" i="20" l="1"/>
  <c r="GE72" i="20"/>
  <c r="GD73" i="20"/>
  <c r="GD74" i="20"/>
  <c r="GD1" i="20" l="1"/>
  <c r="GE73" i="20"/>
  <c r="GF72" i="20"/>
  <c r="GE74" i="20"/>
  <c r="GE1" i="20" l="1"/>
  <c r="GG72" i="20"/>
  <c r="GF73" i="20"/>
  <c r="GF74" i="20"/>
  <c r="GF1" i="20" l="1"/>
  <c r="GG73" i="20"/>
  <c r="GI72" i="20"/>
  <c r="GI73" i="20" s="1"/>
  <c r="GH72" i="20"/>
  <c r="GG74" i="20"/>
  <c r="GI74" i="20"/>
  <c r="GI1" i="20" l="1"/>
  <c r="GG1" i="20"/>
  <c r="GJ72" i="20"/>
  <c r="GH73" i="20"/>
  <c r="GH74" i="20"/>
  <c r="GH1" i="20" l="1"/>
  <c r="GJ73" i="20"/>
  <c r="GK72" i="20"/>
  <c r="GJ74" i="20"/>
  <c r="GJ1" i="20" l="1"/>
  <c r="GK73" i="20"/>
  <c r="GL72" i="20"/>
  <c r="GK74" i="20"/>
  <c r="GK1" i="20" l="1"/>
  <c r="GL73" i="20"/>
  <c r="GM72" i="20"/>
  <c r="GL74" i="20"/>
  <c r="GL1" i="20" l="1"/>
  <c r="GM73" i="20"/>
  <c r="GN72" i="20"/>
  <c r="GN73" i="20" s="1"/>
  <c r="GN74" i="20"/>
  <c r="GM74" i="20"/>
  <c r="GN1" i="20" l="1"/>
  <c r="GM1" i="20"/>
  <c r="B7" i="20" l="1"/>
  <c r="E3" i="15"/>
  <c r="I3" i="15"/>
  <c r="O74" i="20"/>
  <c r="G3" i="15" l="1"/>
  <c r="F26" i="15" s="1"/>
  <c r="H3" i="15"/>
  <c r="F27" i="15" s="1"/>
  <c r="O1" i="20"/>
  <c r="Q1" i="9" s="1"/>
  <c r="B27" i="15"/>
  <c r="B26" i="15"/>
  <c r="D27" i="15"/>
  <c r="E27" i="15" s="1"/>
  <c r="G27" i="15" s="1"/>
  <c r="C26" i="15"/>
  <c r="L4" i="15"/>
  <c r="H27" i="15" l="1"/>
  <c r="J27" i="15" s="1"/>
  <c r="Q20" i="15" s="1"/>
  <c r="I26" i="15"/>
  <c r="E26" i="15"/>
  <c r="G26" i="15" s="1"/>
  <c r="H26" i="15" s="1"/>
  <c r="K12" i="15"/>
  <c r="K19" i="15" s="1"/>
  <c r="L11" i="15"/>
  <c r="L18" i="15" s="1"/>
  <c r="Q21" i="15" l="1"/>
  <c r="S19" i="15"/>
  <c r="R19" i="15"/>
  <c r="J26" i="15"/>
  <c r="R18" i="15" l="1"/>
  <c r="P20" i="15"/>
  <c r="T20" i="15" s="1"/>
  <c r="K28" i="15" s="1"/>
  <c r="L28" i="15" s="1"/>
  <c r="Q18" i="15"/>
  <c r="S18" i="15"/>
  <c r="P21" i="15"/>
  <c r="T21" i="15" s="1"/>
  <c r="K29" i="15" s="1"/>
  <c r="L29" i="15" s="1"/>
  <c r="P19" i="15"/>
  <c r="T19" i="15" s="1"/>
  <c r="K27" i="15" s="1"/>
  <c r="L27" i="15" s="1"/>
  <c r="T18" i="15" l="1"/>
  <c r="K26" i="15" s="1"/>
  <c r="L26" i="15" s="1"/>
  <c r="Q11" i="15" s="1"/>
  <c r="R12" i="15"/>
  <c r="S12" i="15"/>
  <c r="Q13" i="15"/>
  <c r="S13" i="15"/>
  <c r="R14" i="15"/>
  <c r="Q14" i="15"/>
  <c r="P14" i="15" l="1"/>
  <c r="T14" i="15" s="1"/>
  <c r="M29" i="15" s="1"/>
  <c r="N29" i="15" s="1"/>
  <c r="P13" i="15"/>
  <c r="T13" i="15" s="1"/>
  <c r="M28" i="15" s="1"/>
  <c r="N28" i="15" s="1"/>
  <c r="P12" i="15"/>
  <c r="T12" i="15" s="1"/>
  <c r="M27" i="15" s="1"/>
  <c r="N27" i="15" s="1"/>
  <c r="S11" i="15"/>
  <c r="R11" i="15"/>
  <c r="T11" i="15" l="1"/>
  <c r="M26" i="15" s="1"/>
  <c r="N26" i="15" s="1"/>
  <c r="S4" i="15" s="1"/>
  <c r="Q7" i="15"/>
  <c r="Q6" i="15"/>
  <c r="S6" i="15"/>
  <c r="R5" i="15"/>
  <c r="S5" i="15"/>
  <c r="R7" i="15"/>
  <c r="Q4" i="15" l="1"/>
  <c r="R4" i="15"/>
  <c r="P5" i="15"/>
  <c r="T5" i="15" s="1"/>
  <c r="O27" i="15" s="1"/>
  <c r="P27" i="15" s="1"/>
  <c r="P6" i="15"/>
  <c r="T6" i="15" s="1"/>
  <c r="O28" i="15" s="1"/>
  <c r="P28" i="15" s="1"/>
  <c r="U28" i="15" s="1"/>
  <c r="P7" i="15"/>
  <c r="T7" i="15" s="1"/>
  <c r="O29" i="15" s="1"/>
  <c r="P29" i="15" s="1"/>
  <c r="T4" i="15" l="1"/>
  <c r="O26" i="15" s="1"/>
  <c r="P26" i="15" s="1"/>
  <c r="U29" i="15"/>
  <c r="U27" i="15"/>
  <c r="U26" i="15" l="1"/>
  <c r="V29" i="15" s="1"/>
  <c r="V26" i="15" l="1"/>
  <c r="V27" i="15"/>
  <c r="V28" i="15"/>
  <c r="W27" i="15" l="1"/>
  <c r="W26" i="15"/>
  <c r="W28" i="15" l="1"/>
  <c r="Q26" i="15" s="1"/>
  <c r="R26" i="15" s="1"/>
  <c r="I16" i="15" l="1"/>
  <c r="X28" i="15"/>
  <c r="Q28" i="15"/>
  <c r="R28" i="15" s="1"/>
  <c r="T28" i="15" s="1"/>
  <c r="Q27" i="15"/>
  <c r="R27" i="15" s="1"/>
  <c r="T27" i="15" s="1"/>
  <c r="Q29" i="15"/>
  <c r="R29" i="15" s="1"/>
  <c r="T29" i="15" s="1"/>
  <c r="X26" i="15"/>
  <c r="X29" i="15"/>
  <c r="X27" i="15"/>
  <c r="T26" i="15"/>
  <c r="S29" i="15" l="1"/>
  <c r="S26" i="15"/>
  <c r="S28" i="15"/>
  <c r="S27" i="15"/>
  <c r="H13" i="15" l="1"/>
  <c r="R44" i="9" s="1"/>
  <c r="C13" i="15"/>
  <c r="M44" i="9" s="1"/>
  <c r="F13" i="15"/>
  <c r="P44" i="9" s="1"/>
  <c r="E15" i="15"/>
  <c r="O46" i="9" s="1"/>
  <c r="F15" i="15"/>
  <c r="P46" i="9" s="1"/>
  <c r="G13" i="15"/>
  <c r="Q44" i="9" s="1"/>
  <c r="E13" i="15"/>
  <c r="O44" i="9" s="1"/>
  <c r="D13" i="15"/>
  <c r="N44" i="9" s="1"/>
  <c r="D15" i="15"/>
  <c r="N46" i="9" s="1"/>
  <c r="G15" i="15"/>
  <c r="Q46" i="9" s="1"/>
  <c r="E12" i="15"/>
  <c r="O43" i="9" s="1"/>
  <c r="D12" i="15"/>
  <c r="N43" i="9" s="1"/>
  <c r="G14" i="15"/>
  <c r="Q45" i="9" s="1"/>
  <c r="D14" i="15"/>
  <c r="N45" i="9" s="1"/>
  <c r="F14" i="15"/>
  <c r="P45" i="9" s="1"/>
  <c r="E14" i="15"/>
  <c r="O45" i="9" s="1"/>
  <c r="C12" i="15"/>
  <c r="C49" i="2" s="1"/>
  <c r="H53" i="1" s="1"/>
  <c r="E68" i="9" s="1"/>
  <c r="H12" i="15"/>
  <c r="R43" i="9" s="1"/>
  <c r="C14" i="15"/>
  <c r="M45" i="9" s="1"/>
  <c r="C15" i="15"/>
  <c r="M46" i="9" s="1"/>
  <c r="H14" i="15"/>
  <c r="R45" i="9" s="1"/>
  <c r="F12" i="15"/>
  <c r="P43" i="9" s="1"/>
  <c r="H15" i="15"/>
  <c r="R46" i="9" s="1"/>
  <c r="G12" i="15"/>
  <c r="Q43" i="9" s="1"/>
  <c r="C41" i="2"/>
  <c r="K51" i="1" s="1"/>
  <c r="H67" i="9" s="1"/>
  <c r="D51" i="20" s="1"/>
  <c r="DF74" i="20"/>
  <c r="M43" i="9" l="1"/>
  <c r="E4" i="23" s="1"/>
  <c r="D15" i="23" s="1"/>
  <c r="M47" i="9" s="1"/>
  <c r="A53" i="20"/>
  <c r="C57" i="2"/>
  <c r="K60" i="1" s="1"/>
  <c r="H79" i="9" s="1"/>
  <c r="D60" i="20" s="1"/>
  <c r="DF1" i="20"/>
  <c r="DO74" i="20"/>
  <c r="FH74" i="20"/>
  <c r="O15" i="23" l="1"/>
  <c r="FH1" i="20"/>
  <c r="DO1" i="20"/>
  <c r="B1" i="23" l="1"/>
</calcChain>
</file>

<file path=xl/sharedStrings.xml><?xml version="1.0" encoding="utf-8"?>
<sst xmlns="http://schemas.openxmlformats.org/spreadsheetml/2006/main" count="2750" uniqueCount="830">
  <si>
    <t xml:space="preserve">A2 </t>
  </si>
  <si>
    <t xml:space="preserve">A3 </t>
  </si>
  <si>
    <t xml:space="preserve">A4 </t>
  </si>
  <si>
    <t xml:space="preserve">B1 </t>
  </si>
  <si>
    <t xml:space="preserve">B2 </t>
  </si>
  <si>
    <t xml:space="preserve">B3 </t>
  </si>
  <si>
    <t xml:space="preserve">B4 </t>
  </si>
  <si>
    <t xml:space="preserve">C1 </t>
  </si>
  <si>
    <t xml:space="preserve">C2 </t>
  </si>
  <si>
    <t xml:space="preserve">C3 </t>
  </si>
  <si>
    <t xml:space="preserve">C4 </t>
  </si>
  <si>
    <t xml:space="preserve">D1 </t>
  </si>
  <si>
    <t xml:space="preserve">D2 </t>
  </si>
  <si>
    <t xml:space="preserve">D3 </t>
  </si>
  <si>
    <t xml:space="preserve">D4 </t>
  </si>
  <si>
    <t xml:space="preserve">E1 </t>
  </si>
  <si>
    <t xml:space="preserve">E2 </t>
  </si>
  <si>
    <t xml:space="preserve">E3 </t>
  </si>
  <si>
    <t xml:space="preserve">E4 </t>
  </si>
  <si>
    <t xml:space="preserve">F1 </t>
  </si>
  <si>
    <t xml:space="preserve">F2 </t>
  </si>
  <si>
    <t xml:space="preserve">F3 </t>
  </si>
  <si>
    <t xml:space="preserve">F4 </t>
  </si>
  <si>
    <t xml:space="preserve">G1 </t>
  </si>
  <si>
    <t xml:space="preserve">G2 </t>
  </si>
  <si>
    <t xml:space="preserve">G3 </t>
  </si>
  <si>
    <t xml:space="preserve">G4 </t>
  </si>
  <si>
    <t>H1</t>
  </si>
  <si>
    <t>H2</t>
  </si>
  <si>
    <t>H3</t>
  </si>
  <si>
    <t>H4</t>
  </si>
  <si>
    <t>B</t>
  </si>
  <si>
    <t>A</t>
  </si>
  <si>
    <t>C</t>
  </si>
  <si>
    <t>D</t>
  </si>
  <si>
    <t>E</t>
  </si>
  <si>
    <t>F</t>
  </si>
  <si>
    <t>G</t>
  </si>
  <si>
    <t>H</t>
  </si>
  <si>
    <t>Line</t>
  </si>
  <si>
    <t>Group</t>
  </si>
  <si>
    <t>Date</t>
  </si>
  <si>
    <t>Home Team</t>
  </si>
  <si>
    <t>Match No</t>
  </si>
  <si>
    <t>Away Team</t>
  </si>
  <si>
    <t>Stadium</t>
  </si>
  <si>
    <t>Match sequence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</si>
  <si>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</si>
  <si>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</si>
  <si>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</si>
  <si>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</si>
  <si>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</si>
  <si>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</si>
  <si>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</si>
  <si>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</si>
  <si>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</si>
  <si>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</si>
  <si>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</si>
  <si>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</si>
  <si>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</si>
  <si>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</si>
  <si>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</si>
  <si>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</si>
  <si>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</si>
  <si>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</si>
  <si>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</si>
  <si>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</si>
  <si>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</si>
  <si>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</si>
  <si>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</si>
  <si>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</si>
  <si>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</si>
  <si>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</si>
  <si>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</si>
  <si>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</si>
  <si>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Home Team Code</t>
  </si>
  <si>
    <t>Away Team Code</t>
  </si>
  <si>
    <t>Round of 16</t>
  </si>
  <si>
    <t>Winner Group A</t>
  </si>
  <si>
    <t>Runner-up Group B</t>
  </si>
  <si>
    <t>Winner Group C</t>
  </si>
  <si>
    <t>Runner-up Group D</t>
  </si>
  <si>
    <t>Winner Group B</t>
  </si>
  <si>
    <t>Runner-up Group A</t>
  </si>
  <si>
    <t>Winner Group D</t>
  </si>
  <si>
    <t>Runner-up Group C</t>
  </si>
  <si>
    <t>Winner Group E</t>
  </si>
  <si>
    <t>Runner-up Group F</t>
  </si>
  <si>
    <t>Winner Group G</t>
  </si>
  <si>
    <t>Runner-up Group H</t>
  </si>
  <si>
    <t>Winner Group F</t>
  </si>
  <si>
    <t>Runner-up Group E</t>
  </si>
  <si>
    <t>Winner Group H</t>
  </si>
  <si>
    <t>Runner-up Group G</t>
  </si>
  <si>
    <t>Quarter-finals</t>
  </si>
  <si>
    <t>Winner Match 49</t>
  </si>
  <si>
    <t>Winner Match 50</t>
  </si>
  <si>
    <t>Winner Match 53</t>
  </si>
  <si>
    <t>Winner Match 54</t>
  </si>
  <si>
    <t>Winner Match 51</t>
  </si>
  <si>
    <t>Winner Match 52</t>
  </si>
  <si>
    <t>Winner Match 55</t>
  </si>
  <si>
    <t>Winner Match 56</t>
  </si>
  <si>
    <t>Semi-finals</t>
  </si>
  <si>
    <t>Winner Match 57</t>
  </si>
  <si>
    <t>Winner Match 58</t>
  </si>
  <si>
    <t>Winner Match 59</t>
  </si>
  <si>
    <t>Winner Match 60</t>
  </si>
  <si>
    <t>Third place match</t>
  </si>
  <si>
    <t>Loser Match 61</t>
  </si>
  <si>
    <t>Loser Match 62</t>
  </si>
  <si>
    <t>Final</t>
  </si>
  <si>
    <t>Winner Match 61</t>
  </si>
  <si>
    <t>Winner Match 62</t>
  </si>
  <si>
    <t>Round</t>
  </si>
  <si>
    <t>Knockout</t>
  </si>
  <si>
    <t>Winner Match 63</t>
  </si>
  <si>
    <t>Winner Match 64</t>
  </si>
  <si>
    <t>Loser Match 63</t>
  </si>
  <si>
    <t>Loser Match 64</t>
  </si>
  <si>
    <t>GMT</t>
  </si>
  <si>
    <t>BST</t>
  </si>
  <si>
    <t>Points</t>
  </si>
  <si>
    <t>GF</t>
  </si>
  <si>
    <t>Day</t>
  </si>
  <si>
    <t>points</t>
  </si>
  <si>
    <t>Against</t>
  </si>
  <si>
    <t>vs</t>
  </si>
  <si>
    <t>Sum</t>
  </si>
  <si>
    <t>Played</t>
  </si>
  <si>
    <t>GA</t>
  </si>
  <si>
    <t>GD</t>
  </si>
  <si>
    <t>Match points</t>
  </si>
  <si>
    <t>GD Points</t>
  </si>
  <si>
    <t>Goals Scored points</t>
  </si>
  <si>
    <t>Points between teams</t>
  </si>
  <si>
    <t>Goal difference between teams points</t>
  </si>
  <si>
    <t>Fifa lots points</t>
  </si>
  <si>
    <t>Goals scored between teams points</t>
  </si>
  <si>
    <t>Goals scored table</t>
  </si>
  <si>
    <t>Goal Difference table</t>
  </si>
  <si>
    <t>Points between teams table</t>
  </si>
  <si>
    <t>Displayed points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</si>
  <si>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</si>
  <si>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</si>
  <si>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</si>
  <si>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</si>
  <si>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</si>
  <si>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</si>
  <si>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</si>
  <si>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</si>
  <si>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</si>
  <si>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</si>
  <si>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</si>
  <si>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</si>
  <si>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F+G</t>
  </si>
  <si>
    <t>H+I</t>
  </si>
  <si>
    <t>J+K</t>
  </si>
  <si>
    <t>L+M</t>
  </si>
  <si>
    <t>N+O</t>
  </si>
  <si>
    <t>Total Points Q+R</t>
  </si>
  <si>
    <t>Team</t>
  </si>
  <si>
    <t>Posn</t>
  </si>
  <si>
    <t>Final Rank</t>
  </si>
  <si>
    <t>Fifa Lots</t>
  </si>
  <si>
    <t>score home</t>
  </si>
  <si>
    <t>score away</t>
  </si>
  <si>
    <t>home team</t>
  </si>
  <si>
    <t>away team</t>
  </si>
  <si>
    <t>points away</t>
  </si>
  <si>
    <t>Game played</t>
  </si>
  <si>
    <t>Identifies duplicates</t>
  </si>
  <si>
    <t>Points before fifa lots</t>
  </si>
  <si>
    <t>Rank before fifa lots</t>
  </si>
  <si>
    <t>Local Time</t>
  </si>
  <si>
    <t>Time Difference to Brazillia time</t>
  </si>
  <si>
    <t>GMT-12</t>
  </si>
  <si>
    <t>GMT-11</t>
  </si>
  <si>
    <t>GMT-1</t>
  </si>
  <si>
    <t>GMT-2</t>
  </si>
  <si>
    <t>GMT-3</t>
  </si>
  <si>
    <t>GMT-4</t>
  </si>
  <si>
    <t>GMT-5</t>
  </si>
  <si>
    <t>GMT-6</t>
  </si>
  <si>
    <t>GMT-7</t>
  </si>
  <si>
    <t>GMT-8</t>
  </si>
  <si>
    <t>GMT-9</t>
  </si>
  <si>
    <t>GMT-10</t>
  </si>
  <si>
    <t>GMT+1</t>
  </si>
  <si>
    <t>GMT+12</t>
  </si>
  <si>
    <t>GMT+11</t>
  </si>
  <si>
    <t>GMT+10</t>
  </si>
  <si>
    <t>GMT+9</t>
  </si>
  <si>
    <t>GMT+8</t>
  </si>
  <si>
    <t>GMT+7</t>
  </si>
  <si>
    <t>GMT+6</t>
  </si>
  <si>
    <t>GMT+5</t>
  </si>
  <si>
    <t>GMT+4</t>
  </si>
  <si>
    <t>GMT+3</t>
  </si>
  <si>
    <t>GMT+2</t>
  </si>
  <si>
    <t>Time Difference to GMT</t>
  </si>
  <si>
    <t>Note: Need to take 2 days off</t>
  </si>
  <si>
    <t>Team Ref</t>
  </si>
  <si>
    <t>Team Name</t>
  </si>
  <si>
    <t>Stage</t>
  </si>
  <si>
    <t>Grp</t>
  </si>
  <si>
    <t>Match Played</t>
  </si>
  <si>
    <t>1st</t>
  </si>
  <si>
    <t>2nd</t>
  </si>
  <si>
    <t>3rd</t>
  </si>
  <si>
    <t>4th</t>
  </si>
  <si>
    <t>Semi 61 Loser</t>
  </si>
  <si>
    <t>Semi 62 Loser</t>
  </si>
  <si>
    <t>Penalties</t>
  </si>
  <si>
    <t>Goals and Penalties</t>
  </si>
  <si>
    <t>Group Stage</t>
  </si>
  <si>
    <t>Pts</t>
  </si>
  <si>
    <t>Pld</t>
  </si>
  <si>
    <t>Result</t>
  </si>
  <si>
    <t/>
  </si>
  <si>
    <t>days</t>
  </si>
  <si>
    <t>hours</t>
  </si>
  <si>
    <t>minutes</t>
  </si>
  <si>
    <t>seconds</t>
  </si>
  <si>
    <t>Group A</t>
  </si>
  <si>
    <t>Group B</t>
  </si>
  <si>
    <t>Group C</t>
  </si>
  <si>
    <t>Group D</t>
  </si>
  <si>
    <t>Group E</t>
  </si>
  <si>
    <t>Group F</t>
  </si>
  <si>
    <t>Group G</t>
  </si>
  <si>
    <t>Group H</t>
  </si>
  <si>
    <t>Russia</t>
  </si>
  <si>
    <r>
      <t xml:space="preserve">GMT+5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/</t>
    </r>
    <r>
      <rPr>
        <vertAlign val="subscript"/>
        <sz val="11"/>
        <rFont val="Calibri"/>
        <family val="2"/>
        <scheme val="minor"/>
      </rPr>
      <t>2</t>
    </r>
  </si>
  <si>
    <r>
      <t xml:space="preserve">GMT-5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/</t>
    </r>
    <r>
      <rPr>
        <vertAlign val="subscript"/>
        <sz val="11"/>
        <rFont val="Calibri"/>
        <family val="2"/>
        <scheme val="minor"/>
      </rPr>
      <t>2</t>
    </r>
  </si>
  <si>
    <t>b</t>
  </si>
  <si>
    <t>c</t>
  </si>
  <si>
    <t>d</t>
  </si>
  <si>
    <t>e</t>
  </si>
  <si>
    <t>f</t>
  </si>
  <si>
    <t>a</t>
  </si>
  <si>
    <t>GMT Delta</t>
  </si>
  <si>
    <t>Saint Petersburg Stadium, Saint Petersburg</t>
  </si>
  <si>
    <t>UTC Delta</t>
  </si>
  <si>
    <t>Ground</t>
  </si>
  <si>
    <t>Spartak Stadium, Moscow</t>
  </si>
  <si>
    <t>Samara Arena, Samara</t>
  </si>
  <si>
    <t>Volgograd Arena, Volgograd</t>
  </si>
  <si>
    <t>a) greatest number of points obtained in all group matches;</t>
  </si>
  <si>
    <t>b) goal difference in all group matches;</t>
  </si>
  <si>
    <t>c) greatest number of goals scored in all group matches.</t>
  </si>
  <si>
    <t>h) fair play points system in which the number of yellow and red cards in all</t>
  </si>
  <si>
    <t>Fair Play</t>
  </si>
  <si>
    <t>d) greatest number of points obtained in the group matches between the teams concered</t>
  </si>
  <si>
    <t>e) goal difference resulting from the group matches between the teams concerned</t>
  </si>
  <si>
    <t>f) greater number of goals scored in all group matches between the teams concerned</t>
  </si>
  <si>
    <t>.</t>
  </si>
  <si>
    <t>The following is not used…
g) the goals scored away from home count double between the teams concerned (if the tie is only between two teams)</t>
  </si>
  <si>
    <t>Day before</t>
  </si>
  <si>
    <t>Daylight saving dates</t>
  </si>
  <si>
    <t>Today</t>
  </si>
  <si>
    <t>Delta to add</t>
  </si>
  <si>
    <t>Day after</t>
  </si>
  <si>
    <t>Click here to find out more</t>
  </si>
  <si>
    <t>Link</t>
  </si>
  <si>
    <t>Click link</t>
  </si>
  <si>
    <t>Main text</t>
  </si>
  <si>
    <t>Headline</t>
  </si>
  <si>
    <t>i) drawing of lots by the FIFA Organising Committee</t>
  </si>
  <si>
    <t>h) fair play points where the number of yellow/red cards is considered as follows:</t>
  </si>
  <si>
    <t>g) the goals scored away from home count double between the teams concerned</t>
  </si>
  <si>
    <t>Using soccerwallcharts.com spreadsheet I'm predicting Team F2 to beat Team G2 in the final , who R U predicting? @SoccerWallchart</t>
  </si>
  <si>
    <t xml:space="preserve">I've predicted </t>
  </si>
  <si>
    <t xml:space="preserve">Click to Tweet your Group </t>
  </si>
  <si>
    <t xml:space="preserve"> winner</t>
  </si>
  <si>
    <t xml:space="preserve"> to win Group </t>
  </si>
  <si>
    <t xml:space="preserve"> using soccerwallcharts.com spreadsheet wallchart. Get your wallchart predictor too</t>
  </si>
  <si>
    <t>If two or more teams are equal on basis of above criteria, rankings determined by:</t>
  </si>
  <si>
    <t>f) greater number of goals scored in all group matches between teams concerned</t>
  </si>
  <si>
    <t>d) greatest number of points in the group matches between teams concerned</t>
  </si>
  <si>
    <t>1st yellow 1pt; 2nd yellow/indirect red 3pts; direct red 4pts; yellow&amp;direct red 5pts</t>
  </si>
  <si>
    <t>In the league format, the ranking in each group is determined by:</t>
  </si>
  <si>
    <t>Language</t>
  </si>
  <si>
    <t>No</t>
  </si>
  <si>
    <t>Column1</t>
  </si>
  <si>
    <t>English</t>
  </si>
  <si>
    <t>French</t>
  </si>
  <si>
    <t>German</t>
  </si>
  <si>
    <t>Italian</t>
  </si>
  <si>
    <t>Portuguese</t>
  </si>
  <si>
    <t>Russian</t>
  </si>
  <si>
    <t>Spanish</t>
  </si>
  <si>
    <t>Russie</t>
  </si>
  <si>
    <t>Russland</t>
  </si>
  <si>
    <t>Rússia</t>
  </si>
  <si>
    <t>Россия</t>
  </si>
  <si>
    <t>Rusia</t>
  </si>
  <si>
    <t>Croatia</t>
  </si>
  <si>
    <t>Croatie</t>
  </si>
  <si>
    <t>Kroatien</t>
  </si>
  <si>
    <t>Croazia</t>
  </si>
  <si>
    <t>Croácia</t>
  </si>
  <si>
    <t>Хорватия</t>
  </si>
  <si>
    <t>Croacia</t>
  </si>
  <si>
    <t>Mexico</t>
  </si>
  <si>
    <t>Mexique</t>
  </si>
  <si>
    <t>Mexiko</t>
  </si>
  <si>
    <t>Messico</t>
  </si>
  <si>
    <t>México</t>
  </si>
  <si>
    <t>Мексика</t>
  </si>
  <si>
    <t>Spain</t>
  </si>
  <si>
    <t>Espagne</t>
  </si>
  <si>
    <t>Spanien</t>
  </si>
  <si>
    <t>Spagna</t>
  </si>
  <si>
    <t>Espanha</t>
  </si>
  <si>
    <t>Испания</t>
  </si>
  <si>
    <t>España</t>
  </si>
  <si>
    <t>Australia</t>
  </si>
  <si>
    <t>Australie</t>
  </si>
  <si>
    <t>Australien</t>
  </si>
  <si>
    <t>Australi</t>
  </si>
  <si>
    <t>Autrália</t>
  </si>
  <si>
    <t>Австралия</t>
  </si>
  <si>
    <t>Colombia</t>
  </si>
  <si>
    <t>Columbia</t>
  </si>
  <si>
    <t>Колумбия</t>
  </si>
  <si>
    <t>Japan</t>
  </si>
  <si>
    <t>Japon</t>
  </si>
  <si>
    <t>Giappone</t>
  </si>
  <si>
    <t>Japão</t>
  </si>
  <si>
    <t>Япония</t>
  </si>
  <si>
    <t>Japón</t>
  </si>
  <si>
    <t>Uruguay</t>
  </si>
  <si>
    <t>Uruguai</t>
  </si>
  <si>
    <t>Уругвай</t>
  </si>
  <si>
    <t>Costa Rica</t>
  </si>
  <si>
    <t>Costarica</t>
  </si>
  <si>
    <t>Коста-Рика</t>
  </si>
  <si>
    <t>England</t>
  </si>
  <si>
    <t>Angleterre</t>
  </si>
  <si>
    <t>Inghilterra</t>
  </si>
  <si>
    <t>Inglaterra</t>
  </si>
  <si>
    <t>Англия</t>
  </si>
  <si>
    <t>Switzerland</t>
  </si>
  <si>
    <t>Suisse</t>
  </si>
  <si>
    <t>Schweiz</t>
  </si>
  <si>
    <t>Svizzera</t>
  </si>
  <si>
    <t>Suiça</t>
  </si>
  <si>
    <t>Швейцария</t>
  </si>
  <si>
    <t>Suiza</t>
  </si>
  <si>
    <t>France</t>
  </si>
  <si>
    <t>Frankreich</t>
  </si>
  <si>
    <t>Francia</t>
  </si>
  <si>
    <t>França</t>
  </si>
  <si>
    <t>Франция</t>
  </si>
  <si>
    <t>Argentina</t>
  </si>
  <si>
    <t>Argentine</t>
  </si>
  <si>
    <t>Argentinien</t>
  </si>
  <si>
    <t>Аргентина</t>
  </si>
  <si>
    <t>Iran</t>
  </si>
  <si>
    <t>Irã</t>
  </si>
  <si>
    <t>Иран</t>
  </si>
  <si>
    <t>Irán</t>
  </si>
  <si>
    <t>Nigeria</t>
  </si>
  <si>
    <t>Nigéria</t>
  </si>
  <si>
    <t>Нигерия</t>
  </si>
  <si>
    <t>Germany</t>
  </si>
  <si>
    <t>Allemagne</t>
  </si>
  <si>
    <t>Deutschland</t>
  </si>
  <si>
    <t>Germania</t>
  </si>
  <si>
    <t>Alemanha</t>
  </si>
  <si>
    <t>Германия</t>
  </si>
  <si>
    <t>Alemania</t>
  </si>
  <si>
    <t>Portugal</t>
  </si>
  <si>
    <t>Portogallo</t>
  </si>
  <si>
    <t>Португалия</t>
  </si>
  <si>
    <t>Belgium</t>
  </si>
  <si>
    <t>Belgique</t>
  </si>
  <si>
    <t>Belgien</t>
  </si>
  <si>
    <t>Belgio</t>
  </si>
  <si>
    <t>Bélgica</t>
  </si>
  <si>
    <t>Бельгия</t>
  </si>
  <si>
    <t>Brazil</t>
  </si>
  <si>
    <t>Brésil</t>
  </si>
  <si>
    <t>Brasilien</t>
  </si>
  <si>
    <t>Brasile</t>
  </si>
  <si>
    <t>Brasil</t>
  </si>
  <si>
    <t>Бразилия</t>
  </si>
  <si>
    <t>South Korea</t>
  </si>
  <si>
    <t>Corée du Sud</t>
  </si>
  <si>
    <t>Südkorea</t>
  </si>
  <si>
    <t>Corea del Sud</t>
  </si>
  <si>
    <t>Coreia do Sul</t>
  </si>
  <si>
    <t>Южная Корея</t>
  </si>
  <si>
    <t>Corea del Sur</t>
  </si>
  <si>
    <t>Langue</t>
  </si>
  <si>
    <t>Sprache</t>
  </si>
  <si>
    <t>Linguaggio</t>
  </si>
  <si>
    <t>Idioma</t>
  </si>
  <si>
    <t>Язык</t>
  </si>
  <si>
    <t>Timezone</t>
  </si>
  <si>
    <t>Fuseau horaire</t>
  </si>
  <si>
    <t>Zeitzone</t>
  </si>
  <si>
    <t>Fuso orario</t>
  </si>
  <si>
    <t>Fuso Horário</t>
  </si>
  <si>
    <t>Часовой пояс</t>
  </si>
  <si>
    <t>Zona Horaria</t>
  </si>
  <si>
    <t>Matches</t>
  </si>
  <si>
    <t>Rencontres</t>
  </si>
  <si>
    <t>Spiele</t>
  </si>
  <si>
    <t>Partite</t>
  </si>
  <si>
    <t>Jogos</t>
  </si>
  <si>
    <t xml:space="preserve">Результаты матчей </t>
  </si>
  <si>
    <t>Partidos</t>
  </si>
  <si>
    <t>Standings</t>
  </si>
  <si>
    <t>Classements</t>
  </si>
  <si>
    <t>Tabellen</t>
  </si>
  <si>
    <t>Classifica</t>
  </si>
  <si>
    <t>Classificações</t>
  </si>
  <si>
    <t>Положение команд</t>
  </si>
  <si>
    <t>Clasificación</t>
  </si>
  <si>
    <t>Groupe</t>
  </si>
  <si>
    <t>Gruppe</t>
  </si>
  <si>
    <t>Gruppo</t>
  </si>
  <si>
    <t>Grupo</t>
  </si>
  <si>
    <t>Группа</t>
  </si>
  <si>
    <t>Datum</t>
  </si>
  <si>
    <t>Data</t>
  </si>
  <si>
    <t>Дата</t>
  </si>
  <si>
    <t>Fecha</t>
  </si>
  <si>
    <t>Country</t>
  </si>
  <si>
    <t>Pays</t>
  </si>
  <si>
    <t>Land</t>
  </si>
  <si>
    <t>Nazione</t>
  </si>
  <si>
    <t>País</t>
  </si>
  <si>
    <t>Команды</t>
  </si>
  <si>
    <t>Score</t>
  </si>
  <si>
    <t>Ergebnis</t>
  </si>
  <si>
    <t>Risultato</t>
  </si>
  <si>
    <t>Resultado</t>
  </si>
  <si>
    <t>Счет</t>
  </si>
  <si>
    <t>Time</t>
  </si>
  <si>
    <t>Heure</t>
  </si>
  <si>
    <t>Uhrzeit</t>
  </si>
  <si>
    <t>Ora</t>
  </si>
  <si>
    <t>Tempo</t>
  </si>
  <si>
    <t>Время</t>
  </si>
  <si>
    <t>Hora</t>
  </si>
  <si>
    <t xml:space="preserve">Huitièmes de finale </t>
  </si>
  <si>
    <t>Achtelfinale</t>
  </si>
  <si>
    <t>Ottavi di finale</t>
  </si>
  <si>
    <t>Oitavos de Final</t>
  </si>
  <si>
    <t>1/16 финала</t>
  </si>
  <si>
    <t>Octavos de final</t>
  </si>
  <si>
    <t>Quarter Finals</t>
  </si>
  <si>
    <t>Quarts de finale</t>
  </si>
  <si>
    <t>Viertelfinale</t>
  </si>
  <si>
    <t>Quarti di finale</t>
  </si>
  <si>
    <t>Quartos de Final</t>
  </si>
  <si>
    <t>Четвертьфинал</t>
  </si>
  <si>
    <t>Cuartos de final</t>
  </si>
  <si>
    <t>Semi Finals</t>
  </si>
  <si>
    <t>Demi-finales</t>
  </si>
  <si>
    <t>Halbfinale</t>
  </si>
  <si>
    <t>Semifinale</t>
  </si>
  <si>
    <t>Meias Finais</t>
  </si>
  <si>
    <t>Полуфинал</t>
  </si>
  <si>
    <t>Semifinales</t>
  </si>
  <si>
    <t>Match for Third Place</t>
  </si>
  <si>
    <t>Match pour la troisième place</t>
  </si>
  <si>
    <t>Spiel um Platz 3</t>
  </si>
  <si>
    <t>Finale per il terzo posto</t>
  </si>
  <si>
    <t>Apuramento 3º e 4º Lugar</t>
  </si>
  <si>
    <t>Матч за 3-е место</t>
  </si>
  <si>
    <t>Partido por el Tercer puesto</t>
  </si>
  <si>
    <t>Finale</t>
  </si>
  <si>
    <t>Финал</t>
  </si>
  <si>
    <t>Winner</t>
  </si>
  <si>
    <t>Gagnant</t>
  </si>
  <si>
    <t>Sieger</t>
  </si>
  <si>
    <t>Vincitore</t>
  </si>
  <si>
    <t>Vencedor</t>
  </si>
  <si>
    <t>Победитель</t>
  </si>
  <si>
    <t>Ganador</t>
  </si>
  <si>
    <t>Normal Time</t>
  </si>
  <si>
    <t>Temps réglementaire</t>
  </si>
  <si>
    <t>Reguläre Spielzeit</t>
  </si>
  <si>
    <t>Tempo regolamentare</t>
  </si>
  <si>
    <t>Tempo Regulamentar</t>
  </si>
  <si>
    <t>Основное время</t>
  </si>
  <si>
    <t>90 minutos</t>
  </si>
  <si>
    <t>Extra Time</t>
  </si>
  <si>
    <t>Temps additionnel</t>
  </si>
  <si>
    <t>Verlängerung</t>
  </si>
  <si>
    <t>Tempo supplementare</t>
  </si>
  <si>
    <t>Prolongamento</t>
  </si>
  <si>
    <t>Дополнительное время</t>
  </si>
  <si>
    <t>Prórroga</t>
  </si>
  <si>
    <t>Tirs au but</t>
  </si>
  <si>
    <t>Elfmeterschießen</t>
  </si>
  <si>
    <t>Rigori</t>
  </si>
  <si>
    <t>Penáltis</t>
  </si>
  <si>
    <t>Пенальти</t>
  </si>
  <si>
    <t>Penaltys</t>
  </si>
  <si>
    <t>Champion</t>
  </si>
  <si>
    <t>Meister</t>
  </si>
  <si>
    <t>Campione</t>
  </si>
  <si>
    <t>Campeão</t>
  </si>
  <si>
    <t>Чемпион мира</t>
  </si>
  <si>
    <t>Campeón</t>
  </si>
  <si>
    <t>Match #</t>
  </si>
  <si>
    <t>Spiel #</t>
  </si>
  <si>
    <t>Partita n°</t>
  </si>
  <si>
    <t>Jogo #</t>
  </si>
  <si>
    <t>Матч #</t>
  </si>
  <si>
    <t>Partido #</t>
  </si>
  <si>
    <t xml:space="preserve">Joué </t>
  </si>
  <si>
    <t>Giocate</t>
  </si>
  <si>
    <t>Сыграно</t>
  </si>
  <si>
    <t>Jugados</t>
  </si>
  <si>
    <t>Win</t>
  </si>
  <si>
    <t>Gagné</t>
  </si>
  <si>
    <t>Gewonnen</t>
  </si>
  <si>
    <t>Vinte</t>
  </si>
  <si>
    <t>Vitórias</t>
  </si>
  <si>
    <t>Победы</t>
  </si>
  <si>
    <t>Ganados</t>
  </si>
  <si>
    <t>Draw</t>
  </si>
  <si>
    <t>Nul</t>
  </si>
  <si>
    <t>Unentschieden</t>
  </si>
  <si>
    <t>Pareggiate</t>
  </si>
  <si>
    <t>Empates</t>
  </si>
  <si>
    <t>Ничьи</t>
  </si>
  <si>
    <t>Empatados</t>
  </si>
  <si>
    <t>Lose</t>
  </si>
  <si>
    <t>Perdu</t>
  </si>
  <si>
    <t>Verloren</t>
  </si>
  <si>
    <t>Perse</t>
  </si>
  <si>
    <t>Derrotas</t>
  </si>
  <si>
    <t>Поражения</t>
  </si>
  <si>
    <t>Perdidos</t>
  </si>
  <si>
    <t>Goal scored for</t>
  </si>
  <si>
    <t>But pour</t>
  </si>
  <si>
    <t>Tore</t>
  </si>
  <si>
    <t>Goal segnati</t>
  </si>
  <si>
    <t>Golos Marcados</t>
  </si>
  <si>
    <t>Забито</t>
  </si>
  <si>
    <t>Goles a favor</t>
  </si>
  <si>
    <t>Goal scored against</t>
  </si>
  <si>
    <t>But contre</t>
  </si>
  <si>
    <t>Gegentore</t>
  </si>
  <si>
    <t>Goal subiti</t>
  </si>
  <si>
    <t>Golos Sofridos</t>
  </si>
  <si>
    <t>Пропущено</t>
  </si>
  <si>
    <t>Goles en contra</t>
  </si>
  <si>
    <t>Point</t>
  </si>
  <si>
    <t>Punkte</t>
  </si>
  <si>
    <t>Punti</t>
  </si>
  <si>
    <t>Pontos</t>
  </si>
  <si>
    <t>Очки</t>
  </si>
  <si>
    <t>Puntos</t>
  </si>
  <si>
    <t>Second place</t>
  </si>
  <si>
    <t>Deuxième place</t>
  </si>
  <si>
    <t>Zweiter Platz</t>
  </si>
  <si>
    <t>Secondo posto</t>
  </si>
  <si>
    <t>Segundo Lugar</t>
  </si>
  <si>
    <t>Второе место</t>
  </si>
  <si>
    <t>Segunda puesto</t>
  </si>
  <si>
    <t>Groupe A</t>
  </si>
  <si>
    <t>Gruppe A</t>
  </si>
  <si>
    <t>Gruppo A</t>
  </si>
  <si>
    <t>Grupo A</t>
  </si>
  <si>
    <t>Группа A</t>
  </si>
  <si>
    <t>Groupe B</t>
  </si>
  <si>
    <t>Gruppe B</t>
  </si>
  <si>
    <t>Gruppo B</t>
  </si>
  <si>
    <t>Grupo B</t>
  </si>
  <si>
    <t>Группа B</t>
  </si>
  <si>
    <t>Groupe C</t>
  </si>
  <si>
    <t>Gruppe C</t>
  </si>
  <si>
    <t>Gruppo C</t>
  </si>
  <si>
    <t>Grupo C</t>
  </si>
  <si>
    <t>Группа C</t>
  </si>
  <si>
    <t>Groupe D</t>
  </si>
  <si>
    <t>Gruppe D</t>
  </si>
  <si>
    <t>Gruppo D</t>
  </si>
  <si>
    <t>Grupo D</t>
  </si>
  <si>
    <t>Группа D</t>
  </si>
  <si>
    <t>Groupe E</t>
  </si>
  <si>
    <t>Gruppe E</t>
  </si>
  <si>
    <t>Gruppo E</t>
  </si>
  <si>
    <t>Grupo E</t>
  </si>
  <si>
    <t>Группа E</t>
  </si>
  <si>
    <t>Groupe F</t>
  </si>
  <si>
    <t>Gruppe F</t>
  </si>
  <si>
    <t>Gruppo F</t>
  </si>
  <si>
    <t>Grupo F</t>
  </si>
  <si>
    <t>Группа F</t>
  </si>
  <si>
    <t>Groupe G</t>
  </si>
  <si>
    <t>Gruppe G</t>
  </si>
  <si>
    <t>Gruppo G</t>
  </si>
  <si>
    <t>Grupo G</t>
  </si>
  <si>
    <t>Группа G</t>
  </si>
  <si>
    <t>Groupe H</t>
  </si>
  <si>
    <t>Gruppe H</t>
  </si>
  <si>
    <t>Gruppo H</t>
  </si>
  <si>
    <t>Grupo H</t>
  </si>
  <si>
    <t>Группа H</t>
  </si>
  <si>
    <t>World Cup 2018 Schedule and Scoresheet</t>
  </si>
  <si>
    <t>Programme et Feuille de match de la Coupe du Monde 2018</t>
  </si>
  <si>
    <t>Weltmeisterschaft 2018 Spielplan und Ergebnisse</t>
  </si>
  <si>
    <t>Coppa del Mondo 2018 programma e risultati</t>
  </si>
  <si>
    <t>Campeonato Mundial 2018 Horários e Resultados</t>
  </si>
  <si>
    <t>Расписание и таблица Чемпионата мира 2018</t>
  </si>
  <si>
    <t>Copa del Mundo de 2018, Horario y Puntuaciones</t>
  </si>
  <si>
    <t>World Cup 2018 Champion</t>
  </si>
  <si>
    <t xml:space="preserve">Champion Coupe du Monde 2018 </t>
  </si>
  <si>
    <t>Weltmeister 2018</t>
  </si>
  <si>
    <t>Campione del Mondo 2018</t>
  </si>
  <si>
    <t>Campeão Mundial 2018</t>
  </si>
  <si>
    <t>Чемпион мира 2018</t>
  </si>
  <si>
    <t>Campeón de la Copa del Mundo 2018</t>
  </si>
  <si>
    <t>Tirer</t>
  </si>
  <si>
    <t>Ziehen</t>
  </si>
  <si>
    <t>Disegnare</t>
  </si>
  <si>
    <t>Desenhar</t>
  </si>
  <si>
    <t>рисовать</t>
  </si>
  <si>
    <t>Dibujar</t>
  </si>
  <si>
    <t>2018 FIFA World Cup Champion</t>
  </si>
  <si>
    <t>Second</t>
  </si>
  <si>
    <t>FIFA 2018 World Cup Russia Spreadsheet</t>
  </si>
  <si>
    <t>Title</t>
  </si>
  <si>
    <t>FIFA Coupe du Monde 2018 Spreadsheet</t>
  </si>
  <si>
    <t>FIFA 2018 Weltmeister Spreadsheet</t>
  </si>
  <si>
    <t>FIFA 2018 Coppa del Mondo Spreadsheet</t>
  </si>
  <si>
    <t>FIFA 2018 Mundial Spreadsheet</t>
  </si>
  <si>
    <t>FIFA 2018 Чемпион мира Spreadsheet</t>
  </si>
  <si>
    <t>2018 Copa del Mundo Spreadsheet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</si>
  <si>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</si>
  <si>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</si>
  <si>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</si>
  <si>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</si>
  <si>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</si>
  <si>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7 </t>
  </si>
  <si>
    <t xml:space="preserve">6 </t>
  </si>
  <si>
    <t xml:space="preserve">8 </t>
  </si>
  <si>
    <t xml:space="preserve">9 </t>
  </si>
  <si>
    <t xml:space="preserve">10 </t>
  </si>
  <si>
    <t xml:space="preserve">11 </t>
  </si>
  <si>
    <t xml:space="preserve">13 </t>
  </si>
  <si>
    <t xml:space="preserve">12 </t>
  </si>
  <si>
    <t xml:space="preserve">14 </t>
  </si>
  <si>
    <t xml:space="preserve">17 </t>
  </si>
  <si>
    <t xml:space="preserve">20 </t>
  </si>
  <si>
    <t xml:space="preserve">18 </t>
  </si>
  <si>
    <t xml:space="preserve">19 </t>
  </si>
  <si>
    <t xml:space="preserve">21 </t>
  </si>
  <si>
    <t xml:space="preserve">23 </t>
  </si>
  <si>
    <t xml:space="preserve">22 </t>
  </si>
  <si>
    <t xml:space="preserve">24 </t>
  </si>
  <si>
    <t xml:space="preserve">25 </t>
  </si>
  <si>
    <t xml:space="preserve">26 </t>
  </si>
  <si>
    <t xml:space="preserve">27 </t>
  </si>
  <si>
    <t xml:space="preserve">29 </t>
  </si>
  <si>
    <t xml:space="preserve">28 </t>
  </si>
  <si>
    <t xml:space="preserve">30 </t>
  </si>
  <si>
    <t xml:space="preserve">35 </t>
  </si>
  <si>
    <t xml:space="preserve">36 </t>
  </si>
  <si>
    <t xml:space="preserve">33 </t>
  </si>
  <si>
    <t xml:space="preserve">34 </t>
  </si>
  <si>
    <t xml:space="preserve">39 </t>
  </si>
  <si>
    <t xml:space="preserve">40 </t>
  </si>
  <si>
    <t xml:space="preserve">37 </t>
  </si>
  <si>
    <t xml:space="preserve">38 </t>
  </si>
  <si>
    <t xml:space="preserve">43 </t>
  </si>
  <si>
    <t xml:space="preserve">44 </t>
  </si>
  <si>
    <t xml:space="preserve">41 </t>
  </si>
  <si>
    <t xml:space="preserve">42 </t>
  </si>
  <si>
    <t xml:space="preserve">45 </t>
  </si>
  <si>
    <t xml:space="preserve">46 </t>
  </si>
  <si>
    <t>Match</t>
  </si>
  <si>
    <t>Spiel</t>
  </si>
  <si>
    <t>Partita</t>
  </si>
  <si>
    <t>Jogo</t>
  </si>
  <si>
    <t>Матч</t>
  </si>
  <si>
    <t>Partido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</si>
  <si>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</si>
  <si>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</si>
  <si>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</si>
  <si>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</si>
  <si>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</si>
  <si>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</si>
  <si>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</si>
  <si>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</si>
  <si>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</si>
  <si>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</si>
  <si>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</si>
  <si>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</si>
  <si>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</si>
  <si>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</si>
  <si>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</si>
  <si>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</si>
  <si>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</si>
  <si>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</si>
  <si>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15</t>
  </si>
  <si>
    <t>16</t>
  </si>
  <si>
    <t>32</t>
  </si>
  <si>
    <t>31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</si>
  <si>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</si>
  <si>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</si>
  <si>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</si>
  <si>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</si>
  <si>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</si>
  <si>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</si>
  <si>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</si>
  <si>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</si>
  <si>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</si>
  <si>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</si>
  <si>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</si>
  <si>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</si>
  <si>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Qatar</t>
  </si>
  <si>
    <t>Ecuador</t>
  </si>
  <si>
    <t>Netherlands</t>
  </si>
  <si>
    <t>USA</t>
  </si>
  <si>
    <t>IC Play-off 1</t>
  </si>
  <si>
    <t>IC Play-off 2</t>
  </si>
  <si>
    <t>Canada</t>
  </si>
  <si>
    <t>Cameroon</t>
  </si>
  <si>
    <t>Ghana</t>
  </si>
  <si>
    <t>Korea Republic</t>
  </si>
  <si>
    <t>Al Bayt Stadium</t>
  </si>
  <si>
    <t>Khalifa International Stadium</t>
  </si>
  <si>
    <t>Ahmad Bin Ali Stadium</t>
  </si>
  <si>
    <t>Lusail Stadium</t>
  </si>
  <si>
    <t>Al Janoub Stadium</t>
  </si>
  <si>
    <t>Stadium 974</t>
  </si>
  <si>
    <t>Education City Stadium</t>
  </si>
  <si>
    <t>Al Thumama Stadium</t>
  </si>
  <si>
    <t>Time in Qatar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</si>
  <si>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</si>
  <si>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</si>
  <si>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</si>
  <si>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</si>
  <si>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</si>
  <si>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</si>
  <si>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</si>
  <si>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</si>
  <si>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</si>
  <si>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</si>
  <si>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</si>
  <si>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</si>
  <si>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</si>
  <si>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</si>
  <si>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</si>
  <si>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</si>
  <si>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</si>
  <si>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</si>
  <si>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Match 19</t>
  </si>
  <si>
    <t>Match 20</t>
  </si>
  <si>
    <t>Match 21</t>
  </si>
  <si>
    <t>Match 22</t>
  </si>
  <si>
    <t>Match 23</t>
  </si>
  <si>
    <t>Match 24</t>
  </si>
  <si>
    <t>Match 25</t>
  </si>
  <si>
    <t>Match 26</t>
  </si>
  <si>
    <t>Match 27</t>
  </si>
  <si>
    <t>Match 28</t>
  </si>
  <si>
    <t>Match 29</t>
  </si>
  <si>
    <t>Match 30</t>
  </si>
  <si>
    <t>Match 31</t>
  </si>
  <si>
    <t>Match 32</t>
  </si>
  <si>
    <t>Match 33</t>
  </si>
  <si>
    <t>Match 34</t>
  </si>
  <si>
    <t>Match 35</t>
  </si>
  <si>
    <t>Match 36</t>
  </si>
  <si>
    <t>Match 37</t>
  </si>
  <si>
    <t>Match 38</t>
  </si>
  <si>
    <t>Match 39</t>
  </si>
  <si>
    <t>Match 40</t>
  </si>
  <si>
    <t>Match 41</t>
  </si>
  <si>
    <t>Match 42</t>
  </si>
  <si>
    <t>Match 43</t>
  </si>
  <si>
    <t>Match 44</t>
  </si>
  <si>
    <t>Match 45</t>
  </si>
  <si>
    <t>Match 46</t>
  </si>
  <si>
    <t>Match 47</t>
  </si>
  <si>
    <t>Match 48</t>
  </si>
  <si>
    <t>Match 51</t>
  </si>
  <si>
    <t>Match 52</t>
  </si>
  <si>
    <t>World Cup 2022 Schedule and Scoresheet</t>
  </si>
  <si>
    <t>Programme et Feuille de match de la Coupe du Monde 2022</t>
  </si>
  <si>
    <t>Weltmeisterschaft 2022 Spielplan und Ergebnisse</t>
  </si>
  <si>
    <t>Coppa del Mondo 2022 programma e risultati</t>
  </si>
  <si>
    <t>Campeonato Mundial 2022 Horários e Resultados</t>
  </si>
  <si>
    <t>Расписание и таблица Чемпионата мира 2022</t>
  </si>
  <si>
    <t>Copa del Mundo de 2022, Horario y Puntuaciones</t>
  </si>
  <si>
    <t>2022 FIFA World Cup Champion</t>
  </si>
  <si>
    <t xml:space="preserve">Champion Coupe du Monde 2022 </t>
  </si>
  <si>
    <t>Weltmeister 2022</t>
  </si>
  <si>
    <t>Campione del Mondo 2022</t>
  </si>
  <si>
    <t>Campeão Mundial 2022</t>
  </si>
  <si>
    <t>Чемпион мира 2022</t>
  </si>
  <si>
    <t>Campeón de la Copa del Mundo 2022</t>
  </si>
  <si>
    <t>World Cup 2022 Champion</t>
  </si>
  <si>
    <t>FIFA Coupe du Monde 2022 Spreadsheet</t>
  </si>
  <si>
    <t>FIFA 2022 Weltmeister Spreadsheet</t>
  </si>
  <si>
    <t>FIFA 2022 Coppa del Mondo Spreadsheet</t>
  </si>
  <si>
    <t>FIFA 2022 Mundial Spreadsheet</t>
  </si>
  <si>
    <t>FIFA 2022 Чемпион мира Spreadsheet</t>
  </si>
  <si>
    <t>2022 Copa del Mundo Spreadsheet</t>
  </si>
  <si>
    <t>FIFA 2022 World Cup Qatar Spreadsheet</t>
  </si>
  <si>
    <t>eufy smart appliances and security products</t>
  </si>
  <si>
    <t>© soccerwallcharts.com 2014,2015,2016,2017,2022,2021,2022</t>
  </si>
  <si>
    <t>Select Timezone</t>
  </si>
  <si>
    <t>Select Language</t>
  </si>
  <si>
    <t>Click to get an extra £40 off any eufy robotic vacuum or security product</t>
  </si>
  <si>
    <t>Buy a smart home video wifi doorbell with no monthly fees</t>
  </si>
  <si>
    <t>Click here to buy us a coffee</t>
  </si>
  <si>
    <t>https://ko-fi.com/soccerwallcharts</t>
  </si>
  <si>
    <t>Wales</t>
  </si>
  <si>
    <t>Pays de Galles</t>
  </si>
  <si>
    <t>Galles</t>
  </si>
  <si>
    <t>Gales</t>
  </si>
  <si>
    <t>Уэльс</t>
  </si>
  <si>
    <t>Uprotected Version Available</t>
  </si>
  <si>
    <r>
      <t xml:space="preserve">If you want to see how this Excel workbook is constructed then we have an unprotected (sheets and workbook) version available. Click the </t>
    </r>
    <r>
      <rPr>
        <b/>
        <u/>
        <sz val="11"/>
        <rFont val="Calibri"/>
        <family val="2"/>
        <scheme val="minor"/>
      </rPr>
      <t xml:space="preserve">link below </t>
    </r>
    <r>
      <rPr>
        <sz val="11"/>
        <rFont val="Calibri"/>
        <family val="2"/>
        <scheme val="minor"/>
      </rPr>
      <t>to find out more</t>
    </r>
  </si>
  <si>
    <t>If you like what you see please support by buying us a coffee through ko-fi.com. Your coffee donations big or small are much appreciated</t>
  </si>
  <si>
    <t>https://ko-fi.com/s/b44db7f319</t>
  </si>
  <si>
    <t>Support us with a coffee</t>
  </si>
  <si>
    <t>Qatar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</si>
</sst>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dd\ hh:mm"/>
    <numFmt numFmtId="166" formatCode="ddd\ d\ mmm\ hh:mm"/>
    <numFmt numFmtId="167" formatCode="ddd\ dd/mm/yyyy"/>
  </numFmts>
  <fonts count="6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  <charset val="204"/>
    </font>
    <font>
      <b/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color theme="0" tint="-0.14996795556505021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sz val="3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24"/>
      <color theme="0"/>
      <name val="Calibri"/>
      <family val="2"/>
      <scheme val="minor"/>
    </font>
    <font>
      <b/>
      <sz val="11"/>
      <color rgb="FF0039A6"/>
      <name val="Calibri"/>
      <family val="2"/>
      <scheme val="minor"/>
    </font>
    <font>
      <b/>
      <sz val="14"/>
      <color rgb="FFD52B1E"/>
      <name val="Calibri"/>
      <family val="2"/>
      <scheme val="minor"/>
    </font>
    <font>
      <sz val="11"/>
      <color rgb="FFD52B1E"/>
      <name val="Calibri"/>
      <family val="2"/>
      <scheme val="minor"/>
    </font>
    <font>
      <sz val="14"/>
      <color theme="0"/>
      <name val="Calibri Light"/>
      <family val="2"/>
      <scheme val="major"/>
    </font>
    <font>
      <sz val="20"/>
      <color theme="1"/>
      <name val="Calibri Light"/>
      <family val="2"/>
      <scheme val="major"/>
    </font>
    <font>
      <b/>
      <sz val="28"/>
      <color theme="4" tint="-0.249977111117893"/>
      <name val="Calibri"/>
      <family val="2"/>
    </font>
    <font>
      <b/>
      <sz val="14"/>
      <color theme="1"/>
      <name val="Calibri"/>
      <family val="2"/>
      <scheme val="minor"/>
    </font>
    <font>
      <b/>
      <sz val="28"/>
      <color theme="4"/>
      <name val="Calibri"/>
      <family val="2"/>
      <scheme val="minor"/>
    </font>
    <font>
      <sz val="8"/>
      <color theme="1" tint="4.9989318521683403E-2"/>
      <name val="Arial Narrow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u/>
      <sz val="11"/>
      <color rgb="FFD52B1E"/>
      <name val="Calibri"/>
      <family val="2"/>
      <scheme val="minor"/>
    </font>
    <font>
      <b/>
      <sz val="11"/>
      <color rgb="FFD52B1E"/>
      <name val="Arial Narrow"/>
      <family val="2"/>
    </font>
    <font>
      <b/>
      <u/>
      <sz val="11"/>
      <color rgb="FFD52B1E"/>
      <name val="Calibri"/>
      <family val="2"/>
      <scheme val="minor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sz val="10"/>
      <color theme="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399C"/>
      <name val="Calibri"/>
      <family val="2"/>
    </font>
    <font>
      <b/>
      <sz val="11"/>
      <color theme="10"/>
      <name val="Calibri"/>
      <family val="2"/>
      <scheme val="minor"/>
    </font>
    <font>
      <b/>
      <sz val="11"/>
      <color rgb="FF00399C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sz val="28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2"/>
      <color rgb="FF00399C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8"/>
      <color rgb="FFFFFF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D52B1E"/>
        <bgColor indexed="64"/>
      </patternFill>
    </fill>
    <fill>
      <patternFill patternType="solid">
        <fgColor rgb="FF00399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auto="1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39A6"/>
      </left>
      <right style="medium">
        <color rgb="FF0039A6"/>
      </right>
      <top style="medium">
        <color rgb="FF0039A6"/>
      </top>
      <bottom style="medium">
        <color rgb="FF0039A6"/>
      </bottom>
      <diagonal/>
    </border>
    <border>
      <left style="medium">
        <color rgb="FF0039A6"/>
      </left>
      <right/>
      <top style="medium">
        <color rgb="FF0039A6"/>
      </top>
      <bottom/>
      <diagonal/>
    </border>
    <border>
      <left/>
      <right/>
      <top style="medium">
        <color rgb="FF0039A6"/>
      </top>
      <bottom/>
      <diagonal/>
    </border>
    <border>
      <left/>
      <right style="medium">
        <color rgb="FF0039A6"/>
      </right>
      <top style="medium">
        <color rgb="FF0039A6"/>
      </top>
      <bottom/>
      <diagonal/>
    </border>
    <border>
      <left style="medium">
        <color rgb="FF0039A6"/>
      </left>
      <right/>
      <top/>
      <bottom style="medium">
        <color rgb="FF0039A6"/>
      </bottom>
      <diagonal/>
    </border>
    <border>
      <left/>
      <right/>
      <top/>
      <bottom style="medium">
        <color rgb="FF0039A6"/>
      </bottom>
      <diagonal/>
    </border>
    <border>
      <left/>
      <right style="medium">
        <color rgb="FF0039A6"/>
      </right>
      <top/>
      <bottom style="medium">
        <color rgb="FF0039A6"/>
      </bottom>
      <diagonal/>
    </border>
    <border>
      <left style="medium">
        <color rgb="FF0039A6"/>
      </left>
      <right/>
      <top/>
      <bottom/>
      <diagonal/>
    </border>
    <border>
      <left/>
      <right style="medium">
        <color rgb="FF0039A6"/>
      </right>
      <top/>
      <bottom/>
      <diagonal/>
    </border>
    <border>
      <left style="thin">
        <color rgb="FF0039A6"/>
      </left>
      <right style="thin">
        <color rgb="FF0039A6"/>
      </right>
      <top style="thin">
        <color rgb="FF0039A6"/>
      </top>
      <bottom style="thin">
        <color rgb="FF0039A6"/>
      </bottom>
      <diagonal/>
    </border>
    <border>
      <left style="medium">
        <color rgb="FF0039A6"/>
      </left>
      <right style="medium">
        <color rgb="FF0039A6"/>
      </right>
      <top/>
      <bottom style="medium">
        <color rgb="FF0039A6"/>
      </bottom>
      <diagonal/>
    </border>
    <border>
      <left style="medium">
        <color rgb="FF0039A6"/>
      </left>
      <right/>
      <top style="medium">
        <color rgb="FF0039A6"/>
      </top>
      <bottom style="medium">
        <color rgb="FF0039A6"/>
      </bottom>
      <diagonal/>
    </border>
    <border>
      <left/>
      <right/>
      <top style="medium">
        <color rgb="FF0039A6"/>
      </top>
      <bottom style="medium">
        <color rgb="FF0039A6"/>
      </bottom>
      <diagonal/>
    </border>
    <border>
      <left/>
      <right style="medium">
        <color rgb="FF0039A6"/>
      </right>
      <top style="medium">
        <color rgb="FF0039A6"/>
      </top>
      <bottom style="medium">
        <color rgb="FF0039A6"/>
      </bottom>
      <diagonal/>
    </border>
    <border>
      <left style="thin">
        <color rgb="FF0039A6"/>
      </left>
      <right style="thin">
        <color rgb="FF0039A6"/>
      </right>
      <top/>
      <bottom style="thin">
        <color rgb="FF0039A6"/>
      </bottom>
      <diagonal/>
    </border>
    <border>
      <left style="thin">
        <color rgb="FF0039A6"/>
      </left>
      <right style="thin">
        <color rgb="FF0039A6"/>
      </right>
      <top style="thin">
        <color rgb="FF0039A6"/>
      </top>
      <bottom style="medium">
        <color rgb="FF0039A6"/>
      </bottom>
      <diagonal/>
    </border>
    <border>
      <left style="medium">
        <color rgb="FF0039A6"/>
      </left>
      <right/>
      <top/>
      <bottom style="thin">
        <color indexed="64"/>
      </bottom>
      <diagonal/>
    </border>
    <border>
      <left style="medium">
        <color rgb="FF0039A6"/>
      </left>
      <right style="medium">
        <color rgb="FF0039A6"/>
      </right>
      <top/>
      <bottom/>
      <diagonal/>
    </border>
    <border>
      <left/>
      <right style="medium">
        <color rgb="FF0039A6"/>
      </right>
      <top/>
      <bottom style="thin">
        <color indexed="64"/>
      </bottom>
      <diagonal/>
    </border>
    <border>
      <left style="medium">
        <color rgb="FF0039A6"/>
      </left>
      <right/>
      <top/>
      <bottom style="thin">
        <color rgb="FF0039A6"/>
      </bottom>
      <diagonal/>
    </border>
    <border>
      <left/>
      <right/>
      <top/>
      <bottom style="thin">
        <color rgb="FF0039A6"/>
      </bottom>
      <diagonal/>
    </border>
    <border>
      <left/>
      <right style="medium">
        <color rgb="FF0039A6"/>
      </right>
      <top/>
      <bottom style="thin">
        <color rgb="FF0039A6"/>
      </bottom>
      <diagonal/>
    </border>
    <border>
      <left style="medium">
        <color rgb="FF0039A6"/>
      </left>
      <right/>
      <top style="medium">
        <color rgb="FF0039A6"/>
      </top>
      <bottom style="thin">
        <color indexed="64"/>
      </bottom>
      <diagonal/>
    </border>
    <border>
      <left/>
      <right/>
      <top style="medium">
        <color rgb="FF0039A6"/>
      </top>
      <bottom style="thin">
        <color indexed="64"/>
      </bottom>
      <diagonal/>
    </border>
    <border>
      <left style="medium">
        <color rgb="FF0039A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39A6"/>
      </right>
      <top style="thin">
        <color indexed="64"/>
      </top>
      <bottom/>
      <diagonal/>
    </border>
    <border>
      <left style="thin">
        <color rgb="FF0039A6"/>
      </left>
      <right/>
      <top/>
      <bottom/>
      <diagonal/>
    </border>
    <border>
      <left/>
      <right/>
      <top style="thin">
        <color rgb="FF0039A6"/>
      </top>
      <bottom style="medium">
        <color rgb="FF0039A6"/>
      </bottom>
      <diagonal/>
    </border>
    <border>
      <left/>
      <right/>
      <top style="medium">
        <color rgb="FF0039A6"/>
      </top>
      <bottom style="thin">
        <color rgb="FF0039A6"/>
      </bottom>
      <diagonal/>
    </border>
    <border>
      <left style="thin">
        <color rgb="FF0039A6"/>
      </left>
      <right/>
      <top style="thin">
        <color rgb="FF0039A6"/>
      </top>
      <bottom style="thin">
        <color rgb="FF0039A6"/>
      </bottom>
      <diagonal/>
    </border>
    <border>
      <left/>
      <right style="thin">
        <color rgb="FF0039A6"/>
      </right>
      <top style="thin">
        <color rgb="FF0039A6"/>
      </top>
      <bottom style="thin">
        <color rgb="FF0039A6"/>
      </bottom>
      <diagonal/>
    </border>
    <border>
      <left/>
      <right style="medium">
        <color rgb="FF0039A6"/>
      </right>
      <top style="medium">
        <color rgb="FF0039A6"/>
      </top>
      <bottom style="thin">
        <color rgb="FF0039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399C"/>
      </right>
      <top style="medium">
        <color rgb="FF00399C"/>
      </top>
      <bottom style="medium">
        <color rgb="FF00399C"/>
      </bottom>
      <diagonal/>
    </border>
    <border>
      <left/>
      <right/>
      <top style="medium">
        <color rgb="FF00399C"/>
      </top>
      <bottom style="medium">
        <color rgb="FF00399C"/>
      </bottom>
      <diagonal/>
    </border>
    <border>
      <left style="thin">
        <color rgb="FF00399C"/>
      </left>
      <right/>
      <top style="thin">
        <color rgb="FF00399C"/>
      </top>
      <bottom/>
      <diagonal/>
    </border>
    <border>
      <left/>
      <right/>
      <top style="thin">
        <color rgb="FF00399C"/>
      </top>
      <bottom/>
      <diagonal/>
    </border>
    <border>
      <left/>
      <right style="thin">
        <color rgb="FF00399C"/>
      </right>
      <top style="thin">
        <color rgb="FF00399C"/>
      </top>
      <bottom/>
      <diagonal/>
    </border>
    <border>
      <left style="thin">
        <color rgb="FF00399C"/>
      </left>
      <right/>
      <top/>
      <bottom/>
      <diagonal/>
    </border>
    <border>
      <left/>
      <right style="thin">
        <color rgb="FF00399C"/>
      </right>
      <top/>
      <bottom/>
      <diagonal/>
    </border>
    <border>
      <left style="thin">
        <color rgb="FF00399C"/>
      </left>
      <right/>
      <top/>
      <bottom style="thin">
        <color rgb="FF00399C"/>
      </bottom>
      <diagonal/>
    </border>
    <border>
      <left/>
      <right/>
      <top/>
      <bottom style="thin">
        <color rgb="FF00399C"/>
      </bottom>
      <diagonal/>
    </border>
    <border>
      <left/>
      <right style="thin">
        <color rgb="FF00399C"/>
      </right>
      <top/>
      <bottom style="thin">
        <color rgb="FF00399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39A6"/>
      </left>
      <right style="thin">
        <color rgb="FF0039A6"/>
      </right>
      <top style="thin">
        <color rgb="FF0039A6"/>
      </top>
      <bottom/>
      <diagonal/>
    </border>
    <border>
      <left style="thin">
        <color rgb="FF0039A6"/>
      </left>
      <right style="thin">
        <color rgb="FF0039A6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15" fontId="0" fillId="0" borderId="0" xfId="0" applyNumberFormat="1"/>
    <xf numFmtId="20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 textRotation="180"/>
    </xf>
    <xf numFmtId="0" fontId="0" fillId="0" borderId="0" xfId="0" applyFill="1" applyBorder="1" applyAlignment="1">
      <alignment horizontal="center" textRotation="180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0" xfId="0" applyFill="1"/>
    <xf numFmtId="0" fontId="0" fillId="0" borderId="7" xfId="0" applyBorder="1" applyAlignment="1">
      <alignment horizontal="center"/>
    </xf>
    <xf numFmtId="0" fontId="0" fillId="0" borderId="0" xfId="0" applyFill="1"/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ont="1" applyBorder="1"/>
    <xf numFmtId="0" fontId="0" fillId="3" borderId="7" xfId="0" applyFill="1" applyBorder="1" applyAlignment="1">
      <alignment horizontal="center"/>
    </xf>
    <xf numFmtId="0" fontId="10" fillId="4" borderId="0" xfId="0" applyFont="1" applyFill="1" applyBorder="1"/>
    <xf numFmtId="165" fontId="10" fillId="4" borderId="0" xfId="0" applyNumberFormat="1" applyFont="1" applyFill="1" applyBorder="1"/>
    <xf numFmtId="0" fontId="5" fillId="4" borderId="0" xfId="1" applyFont="1" applyFill="1" applyBorder="1"/>
    <xf numFmtId="0" fontId="10" fillId="4" borderId="0" xfId="0" applyFont="1" applyFill="1" applyBorder="1" applyAlignment="1">
      <alignment horizontal="right"/>
    </xf>
    <xf numFmtId="1" fontId="10" fillId="4" borderId="0" xfId="0" applyNumberFormat="1" applyFont="1" applyFill="1" applyBorder="1"/>
    <xf numFmtId="0" fontId="10" fillId="4" borderId="0" xfId="0" quotePrefix="1" applyFont="1" applyFill="1" applyBorder="1"/>
    <xf numFmtId="0" fontId="13" fillId="4" borderId="0" xfId="0" applyFont="1" applyFill="1" applyBorder="1"/>
    <xf numFmtId="0" fontId="0" fillId="0" borderId="0" xfId="0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4" fillId="4" borderId="0" xfId="0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0" fillId="4" borderId="0" xfId="0" applyFont="1" applyFill="1" applyBorder="1" applyAlignment="1" applyProtection="1">
      <alignment horizontal="center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20" fontId="0" fillId="0" borderId="0" xfId="0" applyNumberFormat="1" applyFont="1"/>
    <xf numFmtId="164" fontId="0" fillId="0" borderId="0" xfId="0" applyNumberFormat="1" applyFill="1"/>
    <xf numFmtId="15" fontId="0" fillId="0" borderId="0" xfId="0" applyNumberFormat="1" applyFill="1"/>
    <xf numFmtId="20" fontId="0" fillId="0" borderId="0" xfId="0" applyNumberFormat="1" applyFill="1"/>
    <xf numFmtId="0" fontId="0" fillId="2" borderId="2" xfId="0" applyFill="1" applyBorder="1"/>
    <xf numFmtId="0" fontId="0" fillId="2" borderId="9" xfId="0" applyFill="1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10" fillId="4" borderId="2" xfId="0" applyFont="1" applyFill="1" applyBorder="1"/>
    <xf numFmtId="0" fontId="10" fillId="4" borderId="9" xfId="0" applyFont="1" applyFill="1" applyBorder="1"/>
    <xf numFmtId="0" fontId="10" fillId="4" borderId="4" xfId="0" applyFont="1" applyFill="1" applyBorder="1"/>
    <xf numFmtId="165" fontId="10" fillId="4" borderId="10" xfId="0" applyNumberFormat="1" applyFont="1" applyFill="1" applyBorder="1"/>
    <xf numFmtId="0" fontId="10" fillId="4" borderId="5" xfId="0" applyFont="1" applyFill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 textRotation="180"/>
    </xf>
    <xf numFmtId="0" fontId="21" fillId="0" borderId="0" xfId="0" applyFont="1" applyAlignment="1">
      <alignment horizontal="center" vertical="top" textRotation="180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19" fillId="4" borderId="0" xfId="0" applyFont="1" applyFill="1" applyBorder="1" applyAlignment="1" applyProtection="1">
      <alignment horizontal="left"/>
      <protection hidden="1"/>
    </xf>
    <xf numFmtId="0" fontId="19" fillId="4" borderId="0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0" fontId="18" fillId="4" borderId="0" xfId="0" applyFont="1" applyFill="1" applyBorder="1" applyAlignment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166" fontId="23" fillId="0" borderId="0" xfId="0" applyNumberFormat="1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4" fillId="5" borderId="14" xfId="0" applyFont="1" applyFill="1" applyBorder="1" applyAlignment="1" applyProtection="1">
      <protection hidden="1"/>
    </xf>
    <xf numFmtId="0" fontId="4" fillId="5" borderId="15" xfId="0" applyFont="1" applyFill="1" applyBorder="1" applyAlignment="1" applyProtection="1">
      <protection hidden="1"/>
    </xf>
    <xf numFmtId="0" fontId="0" fillId="5" borderId="16" xfId="0" applyFill="1" applyBorder="1" applyProtection="1"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5" borderId="19" xfId="0" applyFont="1" applyFill="1" applyBorder="1" applyAlignment="1" applyProtection="1">
      <alignment horizontal="center"/>
      <protection hidden="1"/>
    </xf>
    <xf numFmtId="0" fontId="23" fillId="0" borderId="21" xfId="0" applyFont="1" applyBorder="1" applyAlignment="1" applyProtection="1">
      <alignment horizontal="center"/>
      <protection hidden="1"/>
    </xf>
    <xf numFmtId="0" fontId="4" fillId="6" borderId="22" xfId="0" applyFont="1" applyFill="1" applyBorder="1" applyAlignment="1" applyProtection="1">
      <alignment horizontal="center"/>
      <protection locked="0" hidden="1"/>
    </xf>
    <xf numFmtId="166" fontId="23" fillId="0" borderId="18" xfId="0" applyNumberFormat="1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center"/>
      <protection hidden="1"/>
    </xf>
    <xf numFmtId="0" fontId="4" fillId="5" borderId="24" xfId="0" applyFont="1" applyFill="1" applyBorder="1" applyAlignment="1" applyProtection="1">
      <alignment horizontal="left"/>
      <protection hidden="1"/>
    </xf>
    <xf numFmtId="0" fontId="4" fillId="6" borderId="27" xfId="0" applyFont="1" applyFill="1" applyBorder="1" applyAlignment="1" applyProtection="1">
      <alignment horizontal="center"/>
      <protection locked="0"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6" borderId="28" xfId="0" applyFont="1" applyFill="1" applyBorder="1" applyAlignment="1" applyProtection="1">
      <alignment horizontal="center"/>
      <protection locked="0" hidden="1"/>
    </xf>
    <xf numFmtId="0" fontId="0" fillId="4" borderId="20" xfId="0" applyFill="1" applyBorder="1" applyAlignment="1" applyProtection="1">
      <alignment horizontal="center"/>
      <protection hidden="1"/>
    </xf>
    <xf numFmtId="166" fontId="0" fillId="4" borderId="0" xfId="0" applyNumberFormat="1" applyFill="1" applyBorder="1" applyAlignment="1" applyProtection="1">
      <alignment horizontal="center"/>
      <protection hidden="1"/>
    </xf>
    <xf numFmtId="0" fontId="5" fillId="4" borderId="0" xfId="1" applyFont="1" applyFill="1" applyBorder="1" applyAlignment="1" applyProtection="1">
      <alignment horizontal="center"/>
      <protection hidden="1"/>
    </xf>
    <xf numFmtId="0" fontId="4" fillId="4" borderId="21" xfId="0" applyFont="1" applyFill="1" applyBorder="1" applyAlignment="1" applyProtection="1">
      <protection hidden="1"/>
    </xf>
    <xf numFmtId="0" fontId="0" fillId="4" borderId="20" xfId="0" applyFont="1" applyFill="1" applyBorder="1" applyAlignment="1" applyProtection="1">
      <alignment horizontal="center"/>
      <protection hidden="1"/>
    </xf>
    <xf numFmtId="166" fontId="0" fillId="4" borderId="0" xfId="0" applyNumberFormat="1" applyFont="1" applyFill="1" applyBorder="1" applyAlignment="1" applyProtection="1">
      <alignment horizontal="center"/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0" fontId="0" fillId="4" borderId="0" xfId="0" applyFont="1" applyFill="1" applyBorder="1" applyProtection="1">
      <protection hidden="1"/>
    </xf>
    <xf numFmtId="0" fontId="4" fillId="5" borderId="20" xfId="0" applyFont="1" applyFill="1" applyBorder="1" applyProtection="1">
      <protection hidden="1"/>
    </xf>
    <xf numFmtId="0" fontId="4" fillId="5" borderId="29" xfId="0" applyFont="1" applyFill="1" applyBorder="1" applyProtection="1">
      <protection hidden="1"/>
    </xf>
    <xf numFmtId="0" fontId="6" fillId="6" borderId="20" xfId="0" applyFont="1" applyFill="1" applyBorder="1" applyProtection="1">
      <protection hidden="1"/>
    </xf>
    <xf numFmtId="0" fontId="6" fillId="6" borderId="17" xfId="0" applyFont="1" applyFill="1" applyBorder="1" applyProtection="1">
      <protection hidden="1"/>
    </xf>
    <xf numFmtId="0" fontId="23" fillId="4" borderId="24" xfId="0" applyFont="1" applyFill="1" applyBorder="1" applyProtection="1">
      <protection hidden="1"/>
    </xf>
    <xf numFmtId="0" fontId="23" fillId="4" borderId="25" xfId="0" applyFont="1" applyFill="1" applyBorder="1" applyAlignment="1" applyProtection="1">
      <alignment horizontal="center"/>
      <protection hidden="1"/>
    </xf>
    <xf numFmtId="0" fontId="23" fillId="4" borderId="13" xfId="1" applyFont="1" applyFill="1" applyBorder="1" applyAlignment="1" applyProtection="1">
      <alignment horizontal="center"/>
      <protection hidden="1"/>
    </xf>
    <xf numFmtId="0" fontId="23" fillId="4" borderId="26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center"/>
      <protection hidden="1"/>
    </xf>
    <xf numFmtId="0" fontId="6" fillId="6" borderId="21" xfId="0" applyFont="1" applyFill="1" applyBorder="1" applyAlignment="1" applyProtection="1">
      <alignment horizontal="center"/>
      <protection hidden="1"/>
    </xf>
    <xf numFmtId="0" fontId="6" fillId="6" borderId="19" xfId="0" applyFont="1" applyFill="1" applyBorder="1" applyAlignment="1" applyProtection="1">
      <alignment horizontal="center"/>
      <protection hidden="1"/>
    </xf>
    <xf numFmtId="0" fontId="4" fillId="5" borderId="39" xfId="0" applyFont="1" applyFill="1" applyBorder="1" applyAlignment="1" applyProtection="1">
      <alignment horizontal="center"/>
      <protection hidden="1"/>
    </xf>
    <xf numFmtId="0" fontId="25" fillId="0" borderId="30" xfId="0" applyFont="1" applyBorder="1" applyAlignment="1" applyProtection="1">
      <alignment horizontal="center"/>
      <protection locked="0" hidden="1"/>
    </xf>
    <xf numFmtId="0" fontId="25" fillId="0" borderId="23" xfId="0" applyFont="1" applyBorder="1" applyAlignment="1" applyProtection="1">
      <alignment horizontal="center"/>
      <protection locked="0" hidden="1"/>
    </xf>
    <xf numFmtId="166" fontId="23" fillId="0" borderId="33" xfId="0" applyNumberFormat="1" applyFont="1" applyBorder="1" applyAlignment="1" applyProtection="1">
      <alignment horizontal="center"/>
      <protection hidden="1"/>
    </xf>
    <xf numFmtId="0" fontId="23" fillId="0" borderId="33" xfId="0" applyFont="1" applyBorder="1" applyAlignment="1" applyProtection="1">
      <alignment horizontal="center"/>
      <protection hidden="1"/>
    </xf>
    <xf numFmtId="0" fontId="23" fillId="0" borderId="34" xfId="0" applyFont="1" applyBorder="1" applyAlignment="1" applyProtection="1">
      <alignment horizontal="center"/>
      <protection hidden="1"/>
    </xf>
    <xf numFmtId="0" fontId="0" fillId="4" borderId="0" xfId="0" applyFill="1" applyBorder="1" applyAlignment="1"/>
    <xf numFmtId="0" fontId="4" fillId="4" borderId="40" xfId="0" applyFont="1" applyFill="1" applyBorder="1" applyAlignment="1" applyProtection="1">
      <protection locked="0" hidden="1"/>
    </xf>
    <xf numFmtId="0" fontId="4" fillId="4" borderId="20" xfId="0" applyFont="1" applyFill="1" applyBorder="1" applyAlignment="1" applyProtection="1">
      <protection hidden="1"/>
    </xf>
    <xf numFmtId="0" fontId="0" fillId="4" borderId="41" xfId="0" applyFont="1" applyFill="1" applyBorder="1" applyAlignment="1" applyProtection="1">
      <protection hidden="1"/>
    </xf>
    <xf numFmtId="0" fontId="0" fillId="4" borderId="0" xfId="0" applyFont="1" applyFill="1" applyBorder="1" applyAlignment="1" applyProtection="1">
      <protection hidden="1"/>
    </xf>
    <xf numFmtId="0" fontId="6" fillId="4" borderId="49" xfId="1" applyFont="1" applyFill="1" applyBorder="1" applyAlignment="1">
      <alignment vertical="top"/>
    </xf>
    <xf numFmtId="0" fontId="4" fillId="5" borderId="25" xfId="0" applyFont="1" applyFill="1" applyBorder="1" applyAlignment="1" applyProtection="1">
      <alignment horizontal="center"/>
      <protection hidden="1"/>
    </xf>
    <xf numFmtId="0" fontId="6" fillId="6" borderId="18" xfId="0" applyFont="1" applyFill="1" applyBorder="1" applyAlignment="1" applyProtection="1">
      <alignment horizontal="center"/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22" fillId="5" borderId="0" xfId="1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167" fontId="10" fillId="4" borderId="0" xfId="0" applyNumberFormat="1" applyFont="1" applyFill="1" applyBorder="1"/>
    <xf numFmtId="0" fontId="10" fillId="4" borderId="46" xfId="0" applyFont="1" applyFill="1" applyBorder="1"/>
    <xf numFmtId="0" fontId="10" fillId="4" borderId="47" xfId="0" applyFont="1" applyFill="1" applyBorder="1"/>
    <xf numFmtId="0" fontId="10" fillId="4" borderId="48" xfId="0" applyFont="1" applyFill="1" applyBorder="1"/>
    <xf numFmtId="0" fontId="10" fillId="4" borderId="49" xfId="0" applyFont="1" applyFill="1" applyBorder="1"/>
    <xf numFmtId="0" fontId="10" fillId="4" borderId="50" xfId="0" applyFont="1" applyFill="1" applyBorder="1"/>
    <xf numFmtId="0" fontId="10" fillId="4" borderId="51" xfId="0" applyFont="1" applyFill="1" applyBorder="1"/>
    <xf numFmtId="0" fontId="10" fillId="4" borderId="38" xfId="0" applyFont="1" applyFill="1" applyBorder="1"/>
    <xf numFmtId="167" fontId="10" fillId="4" borderId="48" xfId="0" applyNumberFormat="1" applyFont="1" applyFill="1" applyBorder="1"/>
    <xf numFmtId="167" fontId="10" fillId="4" borderId="50" xfId="0" applyNumberFormat="1" applyFont="1" applyFill="1" applyBorder="1"/>
    <xf numFmtId="167" fontId="10" fillId="4" borderId="1" xfId="0" applyNumberFormat="1" applyFont="1" applyFill="1" applyBorder="1"/>
    <xf numFmtId="0" fontId="10" fillId="4" borderId="3" xfId="0" applyFont="1" applyFill="1" applyBorder="1"/>
    <xf numFmtId="0" fontId="21" fillId="0" borderId="0" xfId="0" quotePrefix="1" applyFont="1" applyAlignment="1">
      <alignment vertical="center"/>
    </xf>
    <xf numFmtId="0" fontId="31" fillId="4" borderId="0" xfId="0" applyFont="1" applyFill="1" applyBorder="1" applyAlignment="1" applyProtection="1">
      <alignment horizontal="left"/>
      <protection hidden="1"/>
    </xf>
    <xf numFmtId="0" fontId="0" fillId="4" borderId="49" xfId="0" applyFill="1" applyBorder="1" applyProtection="1">
      <protection hidden="1"/>
    </xf>
    <xf numFmtId="0" fontId="0" fillId="4" borderId="5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9" fillId="4" borderId="1" xfId="0" applyFont="1" applyFill="1" applyBorder="1" applyAlignment="1" applyProtection="1">
      <alignment horizontal="right"/>
      <protection hidden="1"/>
    </xf>
    <xf numFmtId="0" fontId="6" fillId="4" borderId="46" xfId="0" applyFont="1" applyFill="1" applyBorder="1" applyProtection="1">
      <protection hidden="1"/>
    </xf>
    <xf numFmtId="0" fontId="6" fillId="4" borderId="38" xfId="0" applyFont="1" applyFill="1" applyBorder="1" applyProtection="1">
      <protection hidden="1"/>
    </xf>
    <xf numFmtId="0" fontId="6" fillId="4" borderId="47" xfId="0" applyFont="1" applyFill="1" applyBorder="1" applyProtection="1">
      <protection hidden="1"/>
    </xf>
    <xf numFmtId="0" fontId="0" fillId="4" borderId="48" xfId="0" applyFill="1" applyBorder="1" applyProtection="1">
      <protection hidden="1"/>
    </xf>
    <xf numFmtId="0" fontId="7" fillId="4" borderId="48" xfId="0" applyFont="1" applyFill="1" applyBorder="1" applyProtection="1">
      <protection hidden="1"/>
    </xf>
    <xf numFmtId="0" fontId="7" fillId="4" borderId="49" xfId="0" applyFont="1" applyFill="1" applyBorder="1" applyProtection="1">
      <protection hidden="1"/>
    </xf>
    <xf numFmtId="0" fontId="0" fillId="4" borderId="49" xfId="0" applyFill="1" applyBorder="1" applyAlignment="1" applyProtection="1">
      <alignment horizontal="center" vertical="center"/>
      <protection hidden="1"/>
    </xf>
    <xf numFmtId="0" fontId="0" fillId="4" borderId="48" xfId="0" applyFont="1" applyFill="1" applyBorder="1" applyProtection="1"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23" fillId="4" borderId="36" xfId="0" applyFont="1" applyFill="1" applyBorder="1" applyAlignment="1" applyProtection="1">
      <alignment horizontal="center"/>
      <protection hidden="1"/>
    </xf>
    <xf numFmtId="0" fontId="37" fillId="7" borderId="57" xfId="0" applyFont="1" applyFill="1" applyBorder="1" applyAlignment="1" applyProtection="1">
      <alignment horizontal="left"/>
      <protection hidden="1"/>
    </xf>
    <xf numFmtId="0" fontId="6" fillId="7" borderId="0" xfId="0" applyFont="1" applyFill="1" applyBorder="1" applyAlignment="1" applyProtection="1">
      <protection hidden="1"/>
    </xf>
    <xf numFmtId="0" fontId="6" fillId="7" borderId="58" xfId="0" applyFont="1" applyFill="1" applyBorder="1" applyAlignment="1" applyProtection="1">
      <protection hidden="1"/>
    </xf>
    <xf numFmtId="0" fontId="37" fillId="7" borderId="59" xfId="0" applyFont="1" applyFill="1" applyBorder="1" applyAlignment="1" applyProtection="1">
      <alignment horizontal="left"/>
      <protection hidden="1"/>
    </xf>
    <xf numFmtId="0" fontId="6" fillId="7" borderId="60" xfId="0" applyFont="1" applyFill="1" applyBorder="1" applyAlignment="1" applyProtection="1">
      <protection hidden="1"/>
    </xf>
    <xf numFmtId="0" fontId="6" fillId="7" borderId="61" xfId="0" applyFont="1" applyFill="1" applyBorder="1" applyAlignment="1" applyProtection="1">
      <protection hidden="1"/>
    </xf>
    <xf numFmtId="0" fontId="38" fillId="7" borderId="54" xfId="0" applyFont="1" applyFill="1" applyBorder="1" applyAlignment="1" applyProtection="1">
      <alignment horizontal="left"/>
      <protection hidden="1"/>
    </xf>
    <xf numFmtId="0" fontId="4" fillId="7" borderId="55" xfId="1" applyFont="1" applyFill="1" applyBorder="1" applyAlignment="1" applyProtection="1">
      <alignment horizontal="left"/>
      <protection hidden="1"/>
    </xf>
    <xf numFmtId="0" fontId="4" fillId="7" borderId="56" xfId="1" applyFont="1" applyFill="1" applyBorder="1" applyAlignment="1" applyProtection="1">
      <alignment horizontal="left"/>
      <protection hidden="1"/>
    </xf>
    <xf numFmtId="0" fontId="22" fillId="5" borderId="0" xfId="1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39" fillId="8" borderId="51" xfId="0" applyNumberFormat="1" applyFont="1" applyFill="1" applyBorder="1" applyProtection="1">
      <protection hidden="1"/>
    </xf>
    <xf numFmtId="2" fontId="39" fillId="8" borderId="62" xfId="0" applyNumberFormat="1" applyFont="1" applyFill="1" applyBorder="1" applyProtection="1">
      <protection hidden="1"/>
    </xf>
    <xf numFmtId="0" fontId="40" fillId="0" borderId="0" xfId="0" applyFont="1" applyFill="1"/>
    <xf numFmtId="0" fontId="41" fillId="0" borderId="63" xfId="0" applyNumberFormat="1" applyFont="1" applyFill="1" applyBorder="1" applyProtection="1">
      <protection hidden="1"/>
    </xf>
    <xf numFmtId="2" fontId="41" fillId="0" borderId="64" xfId="0" applyNumberFormat="1" applyFont="1" applyFill="1" applyBorder="1" applyProtection="1">
      <protection hidden="1"/>
    </xf>
    <xf numFmtId="2" fontId="41" fillId="9" borderId="64" xfId="0" applyNumberFormat="1" applyFont="1" applyFill="1" applyBorder="1"/>
    <xf numFmtId="2" fontId="41" fillId="0" borderId="64" xfId="0" applyNumberFormat="1" applyFont="1" applyFill="1" applyBorder="1"/>
    <xf numFmtId="0" fontId="41" fillId="0" borderId="47" xfId="0" applyNumberFormat="1" applyFont="1" applyFill="1" applyBorder="1" applyProtection="1">
      <protection hidden="1"/>
    </xf>
    <xf numFmtId="2" fontId="41" fillId="0" borderId="66" xfId="0" applyNumberFormat="1" applyFont="1" applyFill="1" applyBorder="1" applyProtection="1">
      <protection hidden="1"/>
    </xf>
    <xf numFmtId="0" fontId="41" fillId="0" borderId="66" xfId="0" applyFont="1" applyFill="1" applyBorder="1"/>
    <xf numFmtId="0" fontId="40" fillId="0" borderId="0" xfId="0" applyNumberFormat="1" applyFont="1" applyFill="1"/>
    <xf numFmtId="2" fontId="40" fillId="0" borderId="0" xfId="0" applyNumberFormat="1" applyFont="1" applyFill="1"/>
    <xf numFmtId="0" fontId="10" fillId="0" borderId="38" xfId="0" applyFont="1" applyBorder="1"/>
    <xf numFmtId="0" fontId="10" fillId="0" borderId="0" xfId="0" applyFont="1" applyBorder="1"/>
    <xf numFmtId="0" fontId="10" fillId="0" borderId="1" xfId="0" applyFont="1" applyBorder="1"/>
    <xf numFmtId="0" fontId="5" fillId="0" borderId="0" xfId="1" applyFont="1"/>
    <xf numFmtId="0" fontId="5" fillId="4" borderId="10" xfId="1" applyFont="1" applyFill="1" applyBorder="1"/>
    <xf numFmtId="0" fontId="10" fillId="4" borderId="6" xfId="0" applyFont="1" applyFill="1" applyBorder="1"/>
    <xf numFmtId="0" fontId="5" fillId="4" borderId="11" xfId="1" applyFont="1" applyFill="1" applyBorder="1"/>
    <xf numFmtId="2" fontId="42" fillId="0" borderId="64" xfId="0" applyNumberFormat="1" applyFont="1" applyFill="1" applyBorder="1" applyProtection="1">
      <protection hidden="1"/>
    </xf>
    <xf numFmtId="2" fontId="42" fillId="0" borderId="64" xfId="0" applyNumberFormat="1" applyFont="1" applyFill="1" applyBorder="1"/>
    <xf numFmtId="2" fontId="41" fillId="0" borderId="66" xfId="0" applyNumberFormat="1" applyFont="1" applyFill="1" applyBorder="1"/>
    <xf numFmtId="0" fontId="0" fillId="0" borderId="0" xfId="0" quotePrefix="1"/>
    <xf numFmtId="0" fontId="23" fillId="0" borderId="20" xfId="0" applyFont="1" applyBorder="1" applyAlignment="1" applyProtection="1">
      <alignment horizontal="left"/>
      <protection hidden="1"/>
    </xf>
    <xf numFmtId="0" fontId="23" fillId="0" borderId="32" xfId="0" applyFont="1" applyBorder="1" applyAlignment="1" applyProtection="1">
      <alignment horizontal="left"/>
      <protection hidden="1"/>
    </xf>
    <xf numFmtId="0" fontId="23" fillId="0" borderId="17" xfId="0" applyFont="1" applyBorder="1" applyAlignment="1" applyProtection="1">
      <alignment horizontal="left"/>
      <protection hidden="1"/>
    </xf>
    <xf numFmtId="2" fontId="41" fillId="0" borderId="65" xfId="0" applyNumberFormat="1" applyFont="1" applyFill="1" applyBorder="1" applyProtection="1">
      <protection hidden="1"/>
    </xf>
    <xf numFmtId="2" fontId="41" fillId="10" borderId="64" xfId="0" applyNumberFormat="1" applyFont="1" applyFill="1" applyBorder="1"/>
    <xf numFmtId="2" fontId="41" fillId="3" borderId="64" xfId="0" applyNumberFormat="1" applyFont="1" applyFill="1" applyBorder="1" applyProtection="1">
      <protection hidden="1"/>
    </xf>
    <xf numFmtId="2" fontId="46" fillId="0" borderId="66" xfId="0" applyNumberFormat="1" applyFont="1" applyFill="1" applyBorder="1" applyProtection="1">
      <protection hidden="1"/>
    </xf>
    <xf numFmtId="2" fontId="41" fillId="3" borderId="66" xfId="0" applyNumberFormat="1" applyFont="1" applyFill="1" applyBorder="1" applyProtection="1">
      <protection hidden="1"/>
    </xf>
    <xf numFmtId="0" fontId="28" fillId="4" borderId="0" xfId="1" applyFont="1" applyFill="1" applyBorder="1" applyAlignment="1" applyProtection="1">
      <protection hidden="1"/>
    </xf>
    <xf numFmtId="0" fontId="30" fillId="4" borderId="0" xfId="1" applyFont="1" applyFill="1" applyBorder="1" applyAlignment="1" applyProtection="1">
      <alignment vertical="center"/>
      <protection hidden="1"/>
    </xf>
    <xf numFmtId="0" fontId="26" fillId="4" borderId="0" xfId="1" applyFont="1" applyFill="1" applyBorder="1" applyAlignment="1">
      <alignment vertical="center" wrapText="1"/>
    </xf>
    <xf numFmtId="0" fontId="15" fillId="4" borderId="0" xfId="1" applyFont="1" applyFill="1" applyBorder="1" applyAlignment="1" applyProtection="1">
      <alignment vertical="center"/>
      <protection hidden="1"/>
    </xf>
    <xf numFmtId="0" fontId="27" fillId="4" borderId="0" xfId="1" applyFont="1" applyFill="1" applyBorder="1" applyAlignment="1" applyProtection="1">
      <alignment vertical="center"/>
      <protection hidden="1"/>
    </xf>
    <xf numFmtId="0" fontId="49" fillId="4" borderId="0" xfId="1" applyFont="1" applyFill="1" applyBorder="1" applyAlignment="1" applyProtection="1">
      <alignment vertical="center"/>
      <protection hidden="1"/>
    </xf>
    <xf numFmtId="0" fontId="5" fillId="0" borderId="0" xfId="1" applyFont="1" applyBorder="1"/>
    <xf numFmtId="0" fontId="5" fillId="0" borderId="6" xfId="1" applyFont="1" applyBorder="1"/>
    <xf numFmtId="0" fontId="29" fillId="11" borderId="0" xfId="1" applyFont="1" applyFill="1" applyBorder="1" applyAlignment="1" applyProtection="1">
      <alignment vertical="center"/>
      <protection hidden="1"/>
    </xf>
    <xf numFmtId="0" fontId="1" fillId="0" borderId="0" xfId="1"/>
    <xf numFmtId="2" fontId="41" fillId="0" borderId="66" xfId="0" applyNumberFormat="1" applyFont="1" applyBorder="1" applyProtection="1">
      <protection hidden="1"/>
    </xf>
    <xf numFmtId="0" fontId="43" fillId="4" borderId="0" xfId="1" applyFont="1" applyFill="1" applyBorder="1" applyAlignment="1" applyProtection="1">
      <alignment horizontal="center" vertical="center"/>
      <protection hidden="1"/>
    </xf>
    <xf numFmtId="0" fontId="43" fillId="4" borderId="21" xfId="1" applyFont="1" applyFill="1" applyBorder="1" applyAlignment="1" applyProtection="1">
      <alignment horizontal="center" vertical="center"/>
      <protection hidden="1"/>
    </xf>
    <xf numFmtId="0" fontId="53" fillId="5" borderId="0" xfId="1" applyFont="1" applyFill="1" applyBorder="1" applyAlignment="1" applyProtection="1">
      <alignment horizontal="center" vertical="center"/>
      <protection hidden="1"/>
    </xf>
    <xf numFmtId="0" fontId="52" fillId="5" borderId="0" xfId="0" applyFont="1" applyFill="1" applyBorder="1" applyAlignment="1" applyProtection="1">
      <alignment horizontal="center"/>
      <protection locked="0"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24" fillId="4" borderId="0" xfId="0" applyFont="1" applyFill="1" applyBorder="1" applyAlignment="1" applyProtection="1">
      <alignment horizontal="center" vertical="center"/>
      <protection hidden="1"/>
    </xf>
    <xf numFmtId="0" fontId="4" fillId="5" borderId="15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" fillId="6" borderId="43" xfId="0" applyFont="1" applyFill="1" applyBorder="1" applyAlignment="1" applyProtection="1">
      <alignment horizontal="center"/>
      <protection locked="0" hidden="1"/>
    </xf>
    <xf numFmtId="0" fontId="4" fillId="6" borderId="44" xfId="0" applyFont="1" applyFill="1" applyBorder="1" applyAlignment="1" applyProtection="1">
      <alignment horizontal="center"/>
      <protection locked="0" hidden="1"/>
    </xf>
    <xf numFmtId="0" fontId="6" fillId="6" borderId="17" xfId="0" applyFont="1" applyFill="1" applyBorder="1" applyAlignment="1" applyProtection="1">
      <alignment horizontal="center"/>
      <protection hidden="1"/>
    </xf>
    <xf numFmtId="0" fontId="6" fillId="6" borderId="18" xfId="0" applyFont="1" applyFill="1" applyBorder="1" applyAlignment="1" applyProtection="1">
      <alignment horizontal="center"/>
      <protection hidden="1"/>
    </xf>
    <xf numFmtId="0" fontId="48" fillId="4" borderId="0" xfId="1" applyFont="1" applyFill="1" applyBorder="1" applyAlignment="1">
      <alignment horizontal="center"/>
    </xf>
    <xf numFmtId="0" fontId="4" fillId="5" borderId="37" xfId="0" applyFont="1" applyFill="1" applyBorder="1" applyAlignment="1" applyProtection="1">
      <alignment horizontal="center"/>
      <protection hidden="1"/>
    </xf>
    <xf numFmtId="0" fontId="4" fillId="5" borderId="38" xfId="0" applyFont="1" applyFill="1" applyBorder="1" applyAlignment="1" applyProtection="1">
      <alignment horizontal="center"/>
      <protection hidden="1"/>
    </xf>
    <xf numFmtId="0" fontId="6" fillId="6" borderId="20" xfId="0" applyFont="1" applyFill="1" applyBorder="1" applyAlignment="1" applyProtection="1">
      <alignment horizontal="center"/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36" fillId="4" borderId="53" xfId="1" applyFont="1" applyFill="1" applyBorder="1" applyAlignment="1" applyProtection="1">
      <alignment horizontal="center"/>
      <protection hidden="1"/>
    </xf>
    <xf numFmtId="0" fontId="36" fillId="4" borderId="52" xfId="1" applyFont="1" applyFill="1" applyBorder="1" applyAlignment="1" applyProtection="1">
      <alignment horizontal="center"/>
      <protection hidden="1"/>
    </xf>
    <xf numFmtId="0" fontId="45" fillId="3" borderId="67" xfId="1" applyFont="1" applyFill="1" applyBorder="1" applyAlignment="1" applyProtection="1">
      <alignment horizontal="center" vertical="center" textRotation="90"/>
      <protection hidden="1"/>
    </xf>
    <xf numFmtId="0" fontId="45" fillId="3" borderId="68" xfId="1" applyFont="1" applyFill="1" applyBorder="1" applyAlignment="1" applyProtection="1">
      <alignment horizontal="center" vertical="center" textRotation="90"/>
      <protection hidden="1"/>
    </xf>
    <xf numFmtId="0" fontId="45" fillId="3" borderId="27" xfId="1" applyFont="1" applyFill="1" applyBorder="1" applyAlignment="1" applyProtection="1">
      <alignment horizontal="center" vertical="center" textRotation="90"/>
      <protection hidden="1"/>
    </xf>
    <xf numFmtId="0" fontId="54" fillId="4" borderId="0" xfId="1" applyFont="1" applyFill="1" applyBorder="1" applyAlignment="1" applyProtection="1">
      <alignment horizontal="center"/>
      <protection hidden="1"/>
    </xf>
    <xf numFmtId="0" fontId="4" fillId="5" borderId="42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0" fontId="32" fillId="4" borderId="25" xfId="1" applyFont="1" applyFill="1" applyBorder="1" applyAlignment="1" applyProtection="1">
      <alignment horizontal="center" vertical="center"/>
      <protection hidden="1"/>
    </xf>
    <xf numFmtId="0" fontId="33" fillId="4" borderId="25" xfId="0" applyFont="1" applyFill="1" applyBorder="1" applyAlignment="1" applyProtection="1">
      <alignment horizontal="center" vertical="center"/>
      <protection hidden="1"/>
    </xf>
    <xf numFmtId="0" fontId="34" fillId="4" borderId="25" xfId="1" applyFont="1" applyFill="1" applyBorder="1" applyAlignment="1" applyProtection="1">
      <alignment horizontal="center" vertical="center"/>
      <protection hidden="1"/>
    </xf>
    <xf numFmtId="0" fontId="35" fillId="4" borderId="25" xfId="0" applyFont="1" applyFill="1" applyBorder="1" applyAlignment="1" applyProtection="1">
      <alignment horizontal="center" vertical="center"/>
      <protection hidden="1"/>
    </xf>
    <xf numFmtId="0" fontId="34" fillId="4" borderId="15" xfId="1" applyFont="1" applyFill="1" applyBorder="1" applyAlignment="1" applyProtection="1">
      <alignment horizontal="center" vertical="center"/>
      <protection hidden="1"/>
    </xf>
    <xf numFmtId="0" fontId="35" fillId="4" borderId="15" xfId="0" applyFont="1" applyFill="1" applyBorder="1" applyAlignment="1" applyProtection="1">
      <alignment horizontal="center" vertical="center"/>
      <protection hidden="1"/>
    </xf>
    <xf numFmtId="0" fontId="23" fillId="4" borderId="35" xfId="0" applyFont="1" applyFill="1" applyBorder="1" applyAlignment="1" applyProtection="1">
      <alignment horizontal="center"/>
      <protection hidden="1"/>
    </xf>
    <xf numFmtId="0" fontId="23" fillId="4" borderId="36" xfId="0" applyFont="1" applyFill="1" applyBorder="1" applyAlignment="1" applyProtection="1">
      <alignment horizontal="center"/>
      <protection hidden="1"/>
    </xf>
    <xf numFmtId="0" fontId="58" fillId="0" borderId="0" xfId="1" applyFont="1" applyBorder="1" applyAlignment="1" applyProtection="1">
      <alignment horizontal="center" vertical="top" wrapText="1"/>
      <protection hidden="1"/>
    </xf>
    <xf numFmtId="0" fontId="58" fillId="0" borderId="0" xfId="0" applyFont="1" applyBorder="1" applyAlignment="1" applyProtection="1">
      <alignment horizontal="center" vertical="top" wrapText="1"/>
      <protection hidden="1"/>
    </xf>
    <xf numFmtId="0" fontId="58" fillId="0" borderId="21" xfId="0" applyFont="1" applyBorder="1" applyAlignment="1" applyProtection="1">
      <alignment horizontal="center" vertical="top" wrapText="1"/>
      <protection hidden="1"/>
    </xf>
    <xf numFmtId="0" fontId="50" fillId="4" borderId="0" xfId="1" applyFont="1" applyFill="1" applyBorder="1" applyAlignment="1">
      <alignment horizontal="center"/>
    </xf>
    <xf numFmtId="0" fontId="29" fillId="11" borderId="0" xfId="1" applyFont="1" applyFill="1" applyBorder="1" applyAlignment="1" applyProtection="1">
      <alignment horizontal="center" vertical="center"/>
      <protection hidden="1"/>
    </xf>
    <xf numFmtId="0" fontId="45" fillId="4" borderId="0" xfId="1" applyFont="1" applyFill="1" applyBorder="1" applyAlignment="1">
      <alignment horizontal="center" vertical="center"/>
    </xf>
    <xf numFmtId="0" fontId="51" fillId="4" borderId="0" xfId="1" applyFont="1" applyFill="1" applyBorder="1" applyAlignment="1">
      <alignment horizontal="center" vertical="center"/>
    </xf>
    <xf numFmtId="0" fontId="44" fillId="4" borderId="0" xfId="1" applyFont="1" applyFill="1" applyBorder="1" applyAlignment="1" applyProtection="1">
      <alignment horizontal="center" vertical="center"/>
      <protection hidden="1"/>
    </xf>
    <xf numFmtId="0" fontId="56" fillId="3" borderId="14" xfId="1" applyFont="1" applyFill="1" applyBorder="1" applyAlignment="1">
      <alignment horizontal="center" wrapText="1"/>
    </xf>
    <xf numFmtId="0" fontId="56" fillId="3" borderId="15" xfId="1" applyFont="1" applyFill="1" applyBorder="1" applyAlignment="1">
      <alignment horizontal="center" wrapText="1"/>
    </xf>
    <xf numFmtId="0" fontId="56" fillId="3" borderId="16" xfId="1" applyFont="1" applyFill="1" applyBorder="1" applyAlignment="1">
      <alignment horizontal="center" wrapText="1"/>
    </xf>
    <xf numFmtId="0" fontId="56" fillId="3" borderId="20" xfId="1" applyFont="1" applyFill="1" applyBorder="1" applyAlignment="1">
      <alignment horizontal="center" wrapText="1"/>
    </xf>
    <xf numFmtId="0" fontId="56" fillId="3" borderId="0" xfId="1" applyFont="1" applyFill="1" applyBorder="1" applyAlignment="1">
      <alignment horizontal="center" wrapText="1"/>
    </xf>
    <xf numFmtId="0" fontId="56" fillId="3" borderId="21" xfId="1" applyFont="1" applyFill="1" applyBorder="1" applyAlignment="1">
      <alignment horizontal="center" wrapText="1"/>
    </xf>
    <xf numFmtId="0" fontId="57" fillId="3" borderId="20" xfId="1" applyFont="1" applyFill="1" applyBorder="1" applyAlignment="1">
      <alignment horizontal="center" vertical="top" wrapText="1"/>
    </xf>
    <xf numFmtId="0" fontId="57" fillId="3" borderId="0" xfId="1" applyFont="1" applyFill="1" applyBorder="1" applyAlignment="1">
      <alignment horizontal="center" vertical="top" wrapText="1"/>
    </xf>
    <xf numFmtId="0" fontId="57" fillId="3" borderId="21" xfId="1" applyFont="1" applyFill="1" applyBorder="1" applyAlignment="1">
      <alignment horizontal="center" vertical="top" wrapText="1"/>
    </xf>
    <xf numFmtId="0" fontId="57" fillId="3" borderId="17" xfId="1" applyFont="1" applyFill="1" applyBorder="1" applyAlignment="1">
      <alignment horizontal="center" vertical="top" wrapText="1"/>
    </xf>
    <xf numFmtId="0" fontId="57" fillId="3" borderId="18" xfId="1" applyFont="1" applyFill="1" applyBorder="1" applyAlignment="1">
      <alignment horizontal="center" vertical="top" wrapText="1"/>
    </xf>
    <xf numFmtId="0" fontId="57" fillId="3" borderId="19" xfId="1" applyFont="1" applyFill="1" applyBorder="1" applyAlignment="1">
      <alignment horizontal="center" vertical="top" wrapText="1"/>
    </xf>
    <xf numFmtId="0" fontId="55" fillId="3" borderId="20" xfId="1" applyFont="1" applyFill="1" applyBorder="1" applyAlignment="1">
      <alignment horizontal="center" vertical="center" wrapText="1"/>
    </xf>
    <xf numFmtId="0" fontId="55" fillId="3" borderId="0" xfId="1" applyFont="1" applyFill="1" applyBorder="1" applyAlignment="1">
      <alignment horizontal="center" vertical="center" wrapText="1"/>
    </xf>
    <xf numFmtId="0" fontId="55" fillId="3" borderId="2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top" wrapText="1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numFmt numFmtId="2" formatCode="0.00"/>
      <fill>
        <patternFill patternType="none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numFmt numFmtId="2" formatCode="0.00"/>
      <fill>
        <patternFill patternType="none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39A6"/>
      <color rgb="FF009999"/>
      <color rgb="FF33CCCC"/>
      <color rgb="FF00399C"/>
      <color rgb="FF00CC99"/>
      <color rgb="FF00FFFF"/>
      <color rgb="FF0000FF"/>
      <color rgb="FFFF5050"/>
      <color rgb="FFD52B1E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ko-fi.com/soccerwallcharts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://www.soccerwallcharts.com/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fbuy.io/eufyuk/w4atnqfh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</xdr:colOff>
      <xdr:row>1</xdr:row>
      <xdr:rowOff>20935</xdr:rowOff>
    </xdr:from>
    <xdr:to>
      <xdr:col>2</xdr:col>
      <xdr:colOff>141224</xdr:colOff>
      <xdr:row>5</xdr:row>
      <xdr:rowOff>1416</xdr:rowOff>
    </xdr:to>
    <xdr:pic>
      <xdr:nvPicPr>
        <xdr:cNvPr id="5" name="Picture 4">
          <a:hlinkClick xmlns:r="http://schemas.openxmlformats.org/officeDocument/2006/relationships" r:id="rId1" tooltip="www.soccerwallcharts.com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12" y="111649"/>
          <a:ext cx="745926" cy="659421"/>
        </a:xfrm>
        <a:prstGeom prst="rect">
          <a:avLst/>
        </a:prstGeom>
      </xdr:spPr>
    </xdr:pic>
    <xdr:clientData/>
  </xdr:twoCellAnchor>
  <xdr:twoCellAnchor editAs="oneCell">
    <xdr:from>
      <xdr:col>1</xdr:col>
      <xdr:colOff>449580</xdr:colOff>
      <xdr:row>11</xdr:row>
      <xdr:rowOff>22224</xdr:rowOff>
    </xdr:from>
    <xdr:to>
      <xdr:col>1</xdr:col>
      <xdr:colOff>601980</xdr:colOff>
      <xdr:row>11</xdr:row>
      <xdr:rowOff>174624</xdr:rowOff>
    </xdr:to>
    <xdr:pic>
      <xdr:nvPicPr>
        <xdr:cNvPr id="6" name="Picture 5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3" y="249078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213360</xdr:colOff>
      <xdr:row>11</xdr:row>
      <xdr:rowOff>22542</xdr:rowOff>
    </xdr:from>
    <xdr:to>
      <xdr:col>18</xdr:col>
      <xdr:colOff>365760</xdr:colOff>
      <xdr:row>11</xdr:row>
      <xdr:rowOff>174942</xdr:rowOff>
    </xdr:to>
    <xdr:pic>
      <xdr:nvPicPr>
        <xdr:cNvPr id="7" name="Picture 6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7548" y="249110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</xdr:colOff>
      <xdr:row>28</xdr:row>
      <xdr:rowOff>18097</xdr:rowOff>
    </xdr:from>
    <xdr:to>
      <xdr:col>12</xdr:col>
      <xdr:colOff>155257</xdr:colOff>
      <xdr:row>28</xdr:row>
      <xdr:rowOff>170497</xdr:rowOff>
    </xdr:to>
    <xdr:pic>
      <xdr:nvPicPr>
        <xdr:cNvPr id="10" name="Picture 9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0670" y="543306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23815</xdr:rowOff>
    </xdr:from>
    <xdr:to>
      <xdr:col>12</xdr:col>
      <xdr:colOff>152400</xdr:colOff>
      <xdr:row>34</xdr:row>
      <xdr:rowOff>176215</xdr:rowOff>
    </xdr:to>
    <xdr:pic>
      <xdr:nvPicPr>
        <xdr:cNvPr id="11" name="Picture 10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3" y="655320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4763</xdr:colOff>
      <xdr:row>40</xdr:row>
      <xdr:rowOff>23813</xdr:rowOff>
    </xdr:from>
    <xdr:to>
      <xdr:col>12</xdr:col>
      <xdr:colOff>157163</xdr:colOff>
      <xdr:row>40</xdr:row>
      <xdr:rowOff>176213</xdr:rowOff>
    </xdr:to>
    <xdr:pic>
      <xdr:nvPicPr>
        <xdr:cNvPr id="12" name="Picture 11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768191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4763</xdr:colOff>
      <xdr:row>46</xdr:row>
      <xdr:rowOff>23813</xdr:rowOff>
    </xdr:from>
    <xdr:to>
      <xdr:col>12</xdr:col>
      <xdr:colOff>157163</xdr:colOff>
      <xdr:row>46</xdr:row>
      <xdr:rowOff>176213</xdr:rowOff>
    </xdr:to>
    <xdr:pic>
      <xdr:nvPicPr>
        <xdr:cNvPr id="13" name="Picture 12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8810626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4762</xdr:colOff>
      <xdr:row>52</xdr:row>
      <xdr:rowOff>23813</xdr:rowOff>
    </xdr:from>
    <xdr:to>
      <xdr:col>12</xdr:col>
      <xdr:colOff>157162</xdr:colOff>
      <xdr:row>52</xdr:row>
      <xdr:rowOff>176213</xdr:rowOff>
    </xdr:to>
    <xdr:pic>
      <xdr:nvPicPr>
        <xdr:cNvPr id="14" name="Picture 13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993933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23813</xdr:rowOff>
    </xdr:from>
    <xdr:to>
      <xdr:col>12</xdr:col>
      <xdr:colOff>152400</xdr:colOff>
      <xdr:row>58</xdr:row>
      <xdr:rowOff>176213</xdr:rowOff>
    </xdr:to>
    <xdr:pic>
      <xdr:nvPicPr>
        <xdr:cNvPr id="15" name="Picture 14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3" y="11068051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23813</xdr:rowOff>
    </xdr:from>
    <xdr:to>
      <xdr:col>12</xdr:col>
      <xdr:colOff>152400</xdr:colOff>
      <xdr:row>64</xdr:row>
      <xdr:rowOff>176213</xdr:rowOff>
    </xdr:to>
    <xdr:pic>
      <xdr:nvPicPr>
        <xdr:cNvPr id="16" name="Picture 15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3" y="12196763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70</xdr:row>
      <xdr:rowOff>19052</xdr:rowOff>
    </xdr:from>
    <xdr:to>
      <xdr:col>12</xdr:col>
      <xdr:colOff>152400</xdr:colOff>
      <xdr:row>70</xdr:row>
      <xdr:rowOff>171452</xdr:rowOff>
    </xdr:to>
    <xdr:pic>
      <xdr:nvPicPr>
        <xdr:cNvPr id="17" name="Picture 16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3" y="1332071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2857</xdr:colOff>
      <xdr:row>34</xdr:row>
      <xdr:rowOff>18097</xdr:rowOff>
    </xdr:from>
    <xdr:ext cx="152400" cy="152400"/>
    <xdr:pic>
      <xdr:nvPicPr>
        <xdr:cNvPr id="18" name="Picture 17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40</xdr:row>
      <xdr:rowOff>18097</xdr:rowOff>
    </xdr:from>
    <xdr:ext cx="152400" cy="152400"/>
    <xdr:pic>
      <xdr:nvPicPr>
        <xdr:cNvPr id="19" name="Picture 18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46</xdr:row>
      <xdr:rowOff>18097</xdr:rowOff>
    </xdr:from>
    <xdr:ext cx="152400" cy="152400"/>
    <xdr:pic>
      <xdr:nvPicPr>
        <xdr:cNvPr id="20" name="Picture 19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52</xdr:row>
      <xdr:rowOff>18097</xdr:rowOff>
    </xdr:from>
    <xdr:ext cx="152400" cy="152400"/>
    <xdr:pic>
      <xdr:nvPicPr>
        <xdr:cNvPr id="21" name="Picture 20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58</xdr:row>
      <xdr:rowOff>18097</xdr:rowOff>
    </xdr:from>
    <xdr:ext cx="152400" cy="152400"/>
    <xdr:pic>
      <xdr:nvPicPr>
        <xdr:cNvPr id="22" name="Picture 21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64</xdr:row>
      <xdr:rowOff>18097</xdr:rowOff>
    </xdr:from>
    <xdr:ext cx="152400" cy="152400"/>
    <xdr:pic>
      <xdr:nvPicPr>
        <xdr:cNvPr id="23" name="Picture 22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</xdr:colOff>
      <xdr:row>70</xdr:row>
      <xdr:rowOff>18097</xdr:rowOff>
    </xdr:from>
    <xdr:ext cx="152400" cy="152400"/>
    <xdr:pic>
      <xdr:nvPicPr>
        <xdr:cNvPr id="24" name="Picture 23" descr="https://www.optaplanner.org/headerFooter/twitterLogo.png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07" y="5447347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51285</xdr:colOff>
      <xdr:row>91</xdr:row>
      <xdr:rowOff>31750</xdr:rowOff>
    </xdr:from>
    <xdr:to>
      <xdr:col>11</xdr:col>
      <xdr:colOff>1984</xdr:colOff>
      <xdr:row>93</xdr:row>
      <xdr:rowOff>168673</xdr:rowOff>
    </xdr:to>
    <xdr:pic>
      <xdr:nvPicPr>
        <xdr:cNvPr id="26" name="Picture 25" descr="Related image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26" t="25456" r="31579" b="27271"/>
        <a:stretch/>
      </xdr:blipFill>
      <xdr:spPr bwMode="auto">
        <a:xfrm>
          <a:off x="8554332" y="18258234"/>
          <a:ext cx="734527" cy="51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92472</xdr:colOff>
      <xdr:row>6</xdr:row>
      <xdr:rowOff>138906</xdr:rowOff>
    </xdr:from>
    <xdr:to>
      <xdr:col>1</xdr:col>
      <xdr:colOff>525860</xdr:colOff>
      <xdr:row>9</xdr:row>
      <xdr:rowOff>254571</xdr:rowOff>
    </xdr:to>
    <xdr:pic>
      <xdr:nvPicPr>
        <xdr:cNvPr id="29" name="Picture 28">
          <a:hlinkClick xmlns:r="http://schemas.openxmlformats.org/officeDocument/2006/relationships" r:id="rId5" tooltip="eufy"/>
          <a:extLst>
            <a:ext uri="{FF2B5EF4-FFF2-40B4-BE49-F238E27FC236}">
              <a16:creationId xmlns:a16="http://schemas.microsoft.com/office/drawing/2014/main" id="{E8C6E684-8230-446F-8B1A-495164A1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35" y="1389062"/>
          <a:ext cx="433388" cy="1008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79375</xdr:colOff>
      <xdr:row>6</xdr:row>
      <xdr:rowOff>178594</xdr:rowOff>
    </xdr:from>
    <xdr:to>
      <xdr:col>7</xdr:col>
      <xdr:colOff>1470422</xdr:colOff>
      <xdr:row>9</xdr:row>
      <xdr:rowOff>278606</xdr:rowOff>
    </xdr:to>
    <xdr:pic>
      <xdr:nvPicPr>
        <xdr:cNvPr id="38" name="Picture 37">
          <a:hlinkClick xmlns:r="http://schemas.openxmlformats.org/officeDocument/2006/relationships" r:id="rId5" tooltip="eufy"/>
          <a:extLst>
            <a:ext uri="{FF2B5EF4-FFF2-40B4-BE49-F238E27FC236}">
              <a16:creationId xmlns:a16="http://schemas.microsoft.com/office/drawing/2014/main" id="{79F11A84-2296-448B-94F3-5F5130CB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609" y="1428750"/>
          <a:ext cx="1391047" cy="992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64868</xdr:colOff>
      <xdr:row>5</xdr:row>
      <xdr:rowOff>218282</xdr:rowOff>
    </xdr:from>
    <xdr:to>
      <xdr:col>19</xdr:col>
      <xdr:colOff>89296</xdr:colOff>
      <xdr:row>10</xdr:row>
      <xdr:rowOff>184946</xdr:rowOff>
    </xdr:to>
    <xdr:pic>
      <xdr:nvPicPr>
        <xdr:cNvPr id="2" name="Picture 1">
          <a:hlinkClick xmlns:r="http://schemas.openxmlformats.org/officeDocument/2006/relationships" r:id="rId8" tooltip="If you like what you see please buy us a coffee"/>
          <a:extLst>
            <a:ext uri="{FF2B5EF4-FFF2-40B4-BE49-F238E27FC236}">
              <a16:creationId xmlns:a16="http://schemas.microsoft.com/office/drawing/2014/main" id="{98A44658-B1D4-443C-B22E-E4FE5874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90" y="992188"/>
          <a:ext cx="3834428" cy="1395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9921</xdr:colOff>
      <xdr:row>73</xdr:row>
      <xdr:rowOff>40596</xdr:rowOff>
    </xdr:from>
    <xdr:to>
      <xdr:col>19</xdr:col>
      <xdr:colOff>19843</xdr:colOff>
      <xdr:row>79</xdr:row>
      <xdr:rowOff>105568</xdr:rowOff>
    </xdr:to>
    <xdr:pic>
      <xdr:nvPicPr>
        <xdr:cNvPr id="3" name="Picture 2">
          <a:hlinkClick xmlns:r="http://schemas.openxmlformats.org/officeDocument/2006/relationships" r:id="rId8" tooltip="If you like what you see please buy us a coffee"/>
          <a:extLst>
            <a:ext uri="{FF2B5EF4-FFF2-40B4-BE49-F238E27FC236}">
              <a16:creationId xmlns:a16="http://schemas.microsoft.com/office/drawing/2014/main" id="{310CD10F-4B8C-4454-A5F4-71EC62659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5859" y="14516612"/>
          <a:ext cx="3313906" cy="1205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hard/AppData/Local/Temp/Temp1_Stuff.zip/Stuff/world_cup_2014%20hacked%20with%20langu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anguages (2)"/>
      <sheetName val="schedule"/>
      <sheetName val="dummy"/>
      <sheetName val="languages"/>
      <sheetName val="options"/>
      <sheetName val="flags"/>
    </sheetNames>
    <sheetDataSet>
      <sheetData sheetId="0" refreshError="1"/>
      <sheetData sheetId="1"/>
      <sheetData sheetId="2">
        <row r="3">
          <cell r="B3">
            <v>85</v>
          </cell>
          <cell r="O3">
            <v>11</v>
          </cell>
        </row>
        <row r="56">
          <cell r="J56" t="str">
            <v>SPAIN</v>
          </cell>
        </row>
      </sheetData>
      <sheetData sheetId="3">
        <row r="1">
          <cell r="L1">
            <v>1</v>
          </cell>
          <cell r="M1">
            <v>2</v>
          </cell>
          <cell r="N1">
            <v>3</v>
          </cell>
          <cell r="O1">
            <v>4</v>
          </cell>
          <cell r="P1">
            <v>5</v>
          </cell>
          <cell r="Q1">
            <v>6</v>
          </cell>
          <cell r="R1">
            <v>7</v>
          </cell>
          <cell r="S1">
            <v>8</v>
          </cell>
          <cell r="T1">
            <v>9</v>
          </cell>
          <cell r="U1">
            <v>10</v>
          </cell>
          <cell r="V1">
            <v>11</v>
          </cell>
          <cell r="W1">
            <v>12</v>
          </cell>
          <cell r="X1">
            <v>13</v>
          </cell>
          <cell r="Y1">
            <v>14</v>
          </cell>
          <cell r="Z1">
            <v>15</v>
          </cell>
        </row>
        <row r="2">
          <cell r="A2">
            <v>1</v>
          </cell>
          <cell r="B2">
            <v>41802.875</v>
          </cell>
          <cell r="AK2">
            <v>7</v>
          </cell>
        </row>
        <row r="3">
          <cell r="A3">
            <v>2</v>
          </cell>
          <cell r="B3">
            <v>41803.708333333336</v>
          </cell>
        </row>
        <row r="4">
          <cell r="A4">
            <v>3</v>
          </cell>
          <cell r="B4">
            <v>41807.833333333336</v>
          </cell>
        </row>
        <row r="5">
          <cell r="A5">
            <v>4</v>
          </cell>
          <cell r="B5">
            <v>41808.958333333336</v>
          </cell>
        </row>
        <row r="6">
          <cell r="A6">
            <v>5</v>
          </cell>
          <cell r="B6">
            <v>41813.875</v>
          </cell>
        </row>
        <row r="7">
          <cell r="A7">
            <v>6</v>
          </cell>
          <cell r="B7">
            <v>41813.875</v>
          </cell>
        </row>
        <row r="8">
          <cell r="A8">
            <v>7</v>
          </cell>
          <cell r="B8">
            <v>41803.833333333336</v>
          </cell>
          <cell r="AK8">
            <v>4</v>
          </cell>
        </row>
        <row r="9">
          <cell r="A9">
            <v>8</v>
          </cell>
          <cell r="B9">
            <v>41803.958333333336</v>
          </cell>
        </row>
        <row r="10">
          <cell r="A10">
            <v>9</v>
          </cell>
          <cell r="B10">
            <v>41808.708333333336</v>
          </cell>
        </row>
        <row r="11">
          <cell r="A11">
            <v>10</v>
          </cell>
          <cell r="B11">
            <v>41808.833333333336</v>
          </cell>
        </row>
        <row r="12">
          <cell r="A12">
            <v>11</v>
          </cell>
          <cell r="B12">
            <v>41813.708333333336</v>
          </cell>
        </row>
        <row r="13">
          <cell r="A13">
            <v>12</v>
          </cell>
          <cell r="B13">
            <v>41813.708333333336</v>
          </cell>
        </row>
        <row r="14">
          <cell r="A14">
            <v>13</v>
          </cell>
          <cell r="B14">
            <v>41804.708333333336</v>
          </cell>
          <cell r="AK14">
            <v>4</v>
          </cell>
        </row>
        <row r="15">
          <cell r="A15">
            <v>14</v>
          </cell>
          <cell r="B15">
            <v>41804.083333333336</v>
          </cell>
        </row>
        <row r="16">
          <cell r="A16">
            <v>15</v>
          </cell>
          <cell r="B16">
            <v>41809.708333333336</v>
          </cell>
        </row>
        <row r="17">
          <cell r="A17">
            <v>16</v>
          </cell>
          <cell r="B17">
            <v>41809.958333333336</v>
          </cell>
        </row>
        <row r="18">
          <cell r="A18">
            <v>17</v>
          </cell>
          <cell r="B18">
            <v>41814.875</v>
          </cell>
        </row>
        <row r="19">
          <cell r="A19">
            <v>18</v>
          </cell>
          <cell r="B19">
            <v>41814.875</v>
          </cell>
        </row>
        <row r="20">
          <cell r="A20">
            <v>19</v>
          </cell>
          <cell r="B20">
            <v>41804.833333333336</v>
          </cell>
          <cell r="AK20">
            <v>4</v>
          </cell>
        </row>
        <row r="21">
          <cell r="A21">
            <v>20</v>
          </cell>
          <cell r="B21">
            <v>41804.958333333336</v>
          </cell>
        </row>
        <row r="22">
          <cell r="A22">
            <v>21</v>
          </cell>
          <cell r="B22">
            <v>41809.833333333336</v>
          </cell>
        </row>
        <row r="23">
          <cell r="A23">
            <v>22</v>
          </cell>
          <cell r="B23">
            <v>41810.708333333336</v>
          </cell>
        </row>
        <row r="24">
          <cell r="A24">
            <v>23</v>
          </cell>
          <cell r="B24">
            <v>41814.708333333336</v>
          </cell>
        </row>
        <row r="25">
          <cell r="A25">
            <v>24</v>
          </cell>
          <cell r="B25">
            <v>41814.708333333336</v>
          </cell>
        </row>
        <row r="26">
          <cell r="A26">
            <v>25</v>
          </cell>
          <cell r="B26">
            <v>41805.708333333336</v>
          </cell>
          <cell r="AK26">
            <v>4</v>
          </cell>
        </row>
        <row r="27">
          <cell r="A27">
            <v>26</v>
          </cell>
          <cell r="B27">
            <v>41805.833333333336</v>
          </cell>
        </row>
        <row r="28">
          <cell r="A28">
            <v>27</v>
          </cell>
          <cell r="B28">
            <v>41810.833333333336</v>
          </cell>
        </row>
        <row r="29">
          <cell r="A29">
            <v>28</v>
          </cell>
          <cell r="B29">
            <v>41810.958333333336</v>
          </cell>
        </row>
        <row r="30">
          <cell r="A30">
            <v>29</v>
          </cell>
          <cell r="B30">
            <v>41815.875</v>
          </cell>
        </row>
        <row r="31">
          <cell r="A31">
            <v>30</v>
          </cell>
          <cell r="B31">
            <v>41815.875</v>
          </cell>
        </row>
        <row r="32">
          <cell r="A32">
            <v>31</v>
          </cell>
          <cell r="B32">
            <v>41805.958333333336</v>
          </cell>
          <cell r="AK32">
            <v>4</v>
          </cell>
        </row>
        <row r="33">
          <cell r="A33">
            <v>32</v>
          </cell>
          <cell r="B33">
            <v>41806.833333333336</v>
          </cell>
        </row>
        <row r="34">
          <cell r="A34">
            <v>33</v>
          </cell>
          <cell r="B34">
            <v>41811.708333333336</v>
          </cell>
        </row>
        <row r="35">
          <cell r="A35">
            <v>34</v>
          </cell>
          <cell r="B35">
            <v>41811.958333333336</v>
          </cell>
        </row>
        <row r="36">
          <cell r="A36">
            <v>35</v>
          </cell>
          <cell r="B36">
            <v>41815.708333333336</v>
          </cell>
        </row>
        <row r="37">
          <cell r="A37">
            <v>36</v>
          </cell>
          <cell r="B37">
            <v>41815.708333333336</v>
          </cell>
        </row>
        <row r="38">
          <cell r="A38">
            <v>37</v>
          </cell>
          <cell r="B38">
            <v>41806.708333333336</v>
          </cell>
          <cell r="AK38">
            <v>4</v>
          </cell>
        </row>
        <row r="39">
          <cell r="A39">
            <v>38</v>
          </cell>
          <cell r="B39">
            <v>41806.958333333336</v>
          </cell>
        </row>
        <row r="40">
          <cell r="A40">
            <v>39</v>
          </cell>
          <cell r="B40">
            <v>41811.833333333336</v>
          </cell>
        </row>
        <row r="41">
          <cell r="A41">
            <v>40</v>
          </cell>
          <cell r="B41">
            <v>41812.958333333336</v>
          </cell>
        </row>
        <row r="42">
          <cell r="A42">
            <v>41</v>
          </cell>
          <cell r="B42">
            <v>41816.708333333336</v>
          </cell>
        </row>
        <row r="43">
          <cell r="A43">
            <v>42</v>
          </cell>
          <cell r="B43">
            <v>41816.708333333336</v>
          </cell>
        </row>
        <row r="44">
          <cell r="A44">
            <v>43</v>
          </cell>
          <cell r="B44">
            <v>41807.708333333336</v>
          </cell>
          <cell r="AK44">
            <v>4</v>
          </cell>
        </row>
        <row r="45">
          <cell r="A45">
            <v>44</v>
          </cell>
          <cell r="B45">
            <v>41807.958333333336</v>
          </cell>
        </row>
        <row r="46">
          <cell r="A46">
            <v>45</v>
          </cell>
          <cell r="B46">
            <v>41812.708333333336</v>
          </cell>
        </row>
        <row r="47">
          <cell r="A47">
            <v>46</v>
          </cell>
          <cell r="B47">
            <v>41812.833333333336</v>
          </cell>
        </row>
        <row r="48">
          <cell r="A48">
            <v>47</v>
          </cell>
          <cell r="B48">
            <v>41816.875</v>
          </cell>
        </row>
        <row r="49">
          <cell r="A49">
            <v>48</v>
          </cell>
          <cell r="B49">
            <v>41816.875</v>
          </cell>
        </row>
        <row r="50">
          <cell r="A50">
            <v>49</v>
          </cell>
          <cell r="B50">
            <v>41818.708333333336</v>
          </cell>
        </row>
        <row r="51">
          <cell r="A51">
            <v>50</v>
          </cell>
          <cell r="B51">
            <v>41818.875</v>
          </cell>
        </row>
        <row r="52">
          <cell r="A52">
            <v>51</v>
          </cell>
          <cell r="B52">
            <v>41819.708333333336</v>
          </cell>
        </row>
        <row r="53">
          <cell r="A53">
            <v>52</v>
          </cell>
          <cell r="B53">
            <v>41819.875</v>
          </cell>
        </row>
        <row r="54">
          <cell r="A54">
            <v>53</v>
          </cell>
          <cell r="B54">
            <v>41820.708333333336</v>
          </cell>
        </row>
        <row r="55">
          <cell r="A55">
            <v>54</v>
          </cell>
          <cell r="B55">
            <v>41820.875</v>
          </cell>
        </row>
        <row r="56">
          <cell r="A56">
            <v>55</v>
          </cell>
          <cell r="B56">
            <v>41821.708333333336</v>
          </cell>
        </row>
        <row r="57">
          <cell r="A57">
            <v>56</v>
          </cell>
          <cell r="B57">
            <v>41821.875</v>
          </cell>
        </row>
        <row r="58">
          <cell r="A58">
            <v>57</v>
          </cell>
          <cell r="B58">
            <v>41824.708333333336</v>
          </cell>
        </row>
        <row r="59">
          <cell r="A59">
            <v>58</v>
          </cell>
          <cell r="B59">
            <v>41824.875</v>
          </cell>
        </row>
        <row r="60">
          <cell r="A60">
            <v>59</v>
          </cell>
          <cell r="B60">
            <v>41825.708333333336</v>
          </cell>
        </row>
        <row r="61">
          <cell r="A61">
            <v>60</v>
          </cell>
          <cell r="B61">
            <v>41825.875</v>
          </cell>
        </row>
        <row r="62">
          <cell r="A62">
            <v>61</v>
          </cell>
          <cell r="B62">
            <v>41828.875</v>
          </cell>
        </row>
        <row r="63">
          <cell r="A63">
            <v>62</v>
          </cell>
          <cell r="B63">
            <v>41829.875</v>
          </cell>
        </row>
        <row r="64">
          <cell r="A64">
            <v>63</v>
          </cell>
          <cell r="B64">
            <v>41832.875</v>
          </cell>
        </row>
        <row r="65">
          <cell r="A65">
            <v>64</v>
          </cell>
          <cell r="B65">
            <v>41833.833333333336</v>
          </cell>
        </row>
      </sheetData>
      <sheetData sheetId="4" refreshError="1"/>
      <sheetData sheetId="5">
        <row r="1">
          <cell r="B1" t="str">
            <v>town</v>
          </cell>
          <cell r="C1" t="str">
            <v>GMT</v>
          </cell>
        </row>
        <row r="2">
          <cell r="B2" t="str">
            <v>Addis Ababa</v>
          </cell>
          <cell r="C2">
            <v>2</v>
          </cell>
          <cell r="E2" t="str">
            <v>Afrikaans</v>
          </cell>
          <cell r="G2" t="str">
            <v>Brazil</v>
          </cell>
          <cell r="H2">
            <v>1210</v>
          </cell>
          <cell r="I2" t="str">
            <v>picBrazil</v>
          </cell>
        </row>
        <row r="3">
          <cell r="B3" t="str">
            <v>Adelaide</v>
          </cell>
          <cell r="C3">
            <v>8.5</v>
          </cell>
          <cell r="E3" t="str">
            <v>Arabic</v>
          </cell>
          <cell r="G3" t="str">
            <v>Croatia</v>
          </cell>
          <cell r="H3">
            <v>871</v>
          </cell>
          <cell r="I3" t="str">
            <v>picCroatia</v>
          </cell>
        </row>
        <row r="4">
          <cell r="B4" t="str">
            <v>Aden</v>
          </cell>
          <cell r="C4">
            <v>2</v>
          </cell>
          <cell r="E4" t="str">
            <v>Bosnian</v>
          </cell>
          <cell r="G4" t="str">
            <v>Mexico</v>
          </cell>
          <cell r="H4">
            <v>877</v>
          </cell>
          <cell r="I4" t="str">
            <v>picMexico</v>
          </cell>
        </row>
        <row r="5">
          <cell r="B5" t="str">
            <v>Algiers</v>
          </cell>
          <cell r="C5">
            <v>0</v>
          </cell>
          <cell r="E5" t="str">
            <v>Bulgarian</v>
          </cell>
          <cell r="G5" t="str">
            <v>Cameroon</v>
          </cell>
          <cell r="H5">
            <v>583</v>
          </cell>
          <cell r="I5" t="str">
            <v>picCameroon</v>
          </cell>
        </row>
        <row r="6">
          <cell r="B6" t="str">
            <v>Almaty</v>
          </cell>
          <cell r="C6">
            <v>5</v>
          </cell>
          <cell r="E6" t="str">
            <v>Catalan</v>
          </cell>
          <cell r="G6" t="str">
            <v>Spain</v>
          </cell>
          <cell r="H6">
            <v>1460</v>
          </cell>
          <cell r="I6" t="str">
            <v>picSpain</v>
          </cell>
        </row>
        <row r="7">
          <cell r="B7" t="str">
            <v xml:space="preserve">Amman </v>
          </cell>
          <cell r="C7">
            <v>2</v>
          </cell>
          <cell r="E7" t="str">
            <v>Chinese</v>
          </cell>
          <cell r="G7" t="str">
            <v>Netherlands</v>
          </cell>
          <cell r="H7">
            <v>967</v>
          </cell>
          <cell r="I7" t="str">
            <v>picNetherlands</v>
          </cell>
        </row>
        <row r="8">
          <cell r="B8" t="str">
            <v xml:space="preserve">Amsterdam </v>
          </cell>
          <cell r="C8">
            <v>1</v>
          </cell>
          <cell r="E8" t="str">
            <v>Croatian</v>
          </cell>
          <cell r="G8" t="str">
            <v>Chile</v>
          </cell>
          <cell r="H8">
            <v>1037</v>
          </cell>
          <cell r="I8" t="str">
            <v>picChile</v>
          </cell>
        </row>
        <row r="9">
          <cell r="B9" t="str">
            <v xml:space="preserve">Anadyr </v>
          </cell>
          <cell r="C9">
            <v>12</v>
          </cell>
          <cell r="E9" t="str">
            <v>Czech</v>
          </cell>
          <cell r="G9" t="str">
            <v>Australia</v>
          </cell>
          <cell r="H9">
            <v>673</v>
          </cell>
          <cell r="I9" t="str">
            <v>picAustralia</v>
          </cell>
        </row>
        <row r="10">
          <cell r="B10" t="str">
            <v xml:space="preserve">Anchorage </v>
          </cell>
          <cell r="C10">
            <v>-9</v>
          </cell>
          <cell r="E10" t="str">
            <v>Danish</v>
          </cell>
          <cell r="G10" t="str">
            <v>Colombia</v>
          </cell>
          <cell r="H10">
            <v>1186</v>
          </cell>
          <cell r="I10" t="str">
            <v>picColombia</v>
          </cell>
        </row>
        <row r="11">
          <cell r="B11" t="str">
            <v xml:space="preserve">Ankara </v>
          </cell>
          <cell r="C11">
            <v>2</v>
          </cell>
          <cell r="E11" t="str">
            <v>Dutch</v>
          </cell>
          <cell r="G11" t="str">
            <v>Greece</v>
          </cell>
          <cell r="H11">
            <v>1082</v>
          </cell>
          <cell r="I11" t="str">
            <v>picGreece</v>
          </cell>
        </row>
        <row r="12">
          <cell r="B12" t="str">
            <v>Antananarivo</v>
          </cell>
          <cell r="C12">
            <v>2</v>
          </cell>
          <cell r="E12" t="str">
            <v>English</v>
          </cell>
          <cell r="G12" t="str">
            <v>Ivory Coast</v>
          </cell>
          <cell r="H12">
            <v>748</v>
          </cell>
          <cell r="I12" t="str">
            <v>picIvory</v>
          </cell>
        </row>
        <row r="13">
          <cell r="B13" t="str">
            <v>Asuncion</v>
          </cell>
          <cell r="C13">
            <v>-5</v>
          </cell>
          <cell r="E13" t="str">
            <v>Finnish</v>
          </cell>
          <cell r="G13" t="str">
            <v>Japan</v>
          </cell>
          <cell r="H13">
            <v>613</v>
          </cell>
          <cell r="I13" t="str">
            <v>picJapan</v>
          </cell>
        </row>
        <row r="14">
          <cell r="B14" t="str">
            <v xml:space="preserve">Athens </v>
          </cell>
          <cell r="C14">
            <v>2</v>
          </cell>
          <cell r="E14" t="str">
            <v>French</v>
          </cell>
          <cell r="G14" t="str">
            <v>Uruguay</v>
          </cell>
          <cell r="H14">
            <v>1181</v>
          </cell>
          <cell r="I14" t="str">
            <v>picUruguay</v>
          </cell>
        </row>
        <row r="15">
          <cell r="B15" t="str">
            <v xml:space="preserve">Atlanta </v>
          </cell>
          <cell r="C15">
            <v>-5</v>
          </cell>
          <cell r="E15" t="str">
            <v>German</v>
          </cell>
          <cell r="G15" t="str">
            <v>Costa Rica</v>
          </cell>
          <cell r="H15">
            <v>748</v>
          </cell>
          <cell r="I15" t="str">
            <v>picCosta Rica</v>
          </cell>
        </row>
        <row r="16">
          <cell r="B16" t="str">
            <v>Auckland</v>
          </cell>
          <cell r="C16">
            <v>11</v>
          </cell>
          <cell r="E16" t="str">
            <v>Greek</v>
          </cell>
          <cell r="G16" t="str">
            <v>England</v>
          </cell>
          <cell r="H16">
            <v>1043</v>
          </cell>
          <cell r="I16" t="str">
            <v>picEngland</v>
          </cell>
        </row>
        <row r="17">
          <cell r="B17" t="str">
            <v>Baghdad</v>
          </cell>
          <cell r="C17">
            <v>2</v>
          </cell>
          <cell r="E17" t="str">
            <v>Hebrew</v>
          </cell>
          <cell r="G17" t="str">
            <v>Italy</v>
          </cell>
          <cell r="H17">
            <v>1115</v>
          </cell>
          <cell r="I17" t="str">
            <v>picItaly</v>
          </cell>
        </row>
        <row r="18">
          <cell r="B18" t="str">
            <v>Bangkok</v>
          </cell>
          <cell r="C18">
            <v>6</v>
          </cell>
          <cell r="E18" t="str">
            <v>Hungarian</v>
          </cell>
          <cell r="G18" t="str">
            <v>Switzerland</v>
          </cell>
          <cell r="H18">
            <v>1161</v>
          </cell>
          <cell r="I18" t="str">
            <v>picSwitzerland</v>
          </cell>
        </row>
        <row r="19">
          <cell r="B19" t="str">
            <v xml:space="preserve">Barcelona </v>
          </cell>
          <cell r="C19">
            <v>1</v>
          </cell>
          <cell r="E19" t="str">
            <v>Italian</v>
          </cell>
          <cell r="G19" t="str">
            <v>Ecuador</v>
          </cell>
          <cell r="H19">
            <v>794</v>
          </cell>
          <cell r="I19" t="str">
            <v>picEcuador</v>
          </cell>
        </row>
        <row r="20">
          <cell r="B20" t="str">
            <v>Beijing</v>
          </cell>
          <cell r="C20">
            <v>7</v>
          </cell>
          <cell r="E20" t="str">
            <v>Japanese</v>
          </cell>
          <cell r="G20" t="str">
            <v>France</v>
          </cell>
          <cell r="H20">
            <v>935</v>
          </cell>
          <cell r="I20" t="str">
            <v>picFrance</v>
          </cell>
        </row>
        <row r="21">
          <cell r="B21" t="str">
            <v xml:space="preserve">Beirut </v>
          </cell>
          <cell r="C21">
            <v>2</v>
          </cell>
          <cell r="E21" t="str">
            <v>Korean</v>
          </cell>
          <cell r="G21" t="str">
            <v>Honduras</v>
          </cell>
          <cell r="H21">
            <v>759</v>
          </cell>
          <cell r="I21" t="str">
            <v>picHonduras</v>
          </cell>
        </row>
        <row r="22">
          <cell r="B22" t="str">
            <v xml:space="preserve">Belgrade </v>
          </cell>
          <cell r="C22">
            <v>1</v>
          </cell>
          <cell r="E22" t="str">
            <v>Lithuanian</v>
          </cell>
          <cell r="G22" t="str">
            <v>Argentina</v>
          </cell>
          <cell r="H22">
            <v>1178</v>
          </cell>
          <cell r="I22" t="str">
            <v>picArgentina</v>
          </cell>
        </row>
        <row r="23">
          <cell r="B23" t="str">
            <v xml:space="preserve">Berlin </v>
          </cell>
          <cell r="C23">
            <v>1</v>
          </cell>
          <cell r="E23" t="str">
            <v>Norwegian</v>
          </cell>
          <cell r="G23" t="str">
            <v>Bosnia and Herzegovina</v>
          </cell>
          <cell r="H23">
            <v>795</v>
          </cell>
          <cell r="I23" t="str">
            <v>picBosnia</v>
          </cell>
        </row>
        <row r="24">
          <cell r="B24" t="str">
            <v>Bogota</v>
          </cell>
          <cell r="C24">
            <v>-6</v>
          </cell>
          <cell r="E24" t="str">
            <v>Persian</v>
          </cell>
          <cell r="G24" t="str">
            <v>Iran</v>
          </cell>
          <cell r="H24">
            <v>715</v>
          </cell>
          <cell r="I24" t="str">
            <v>picIran</v>
          </cell>
        </row>
        <row r="25">
          <cell r="B25" t="str">
            <v xml:space="preserve">Boston </v>
          </cell>
          <cell r="C25">
            <v>-5</v>
          </cell>
          <cell r="E25" t="str">
            <v>Polish</v>
          </cell>
          <cell r="G25" t="str">
            <v>Nigeria</v>
          </cell>
          <cell r="H25">
            <v>631</v>
          </cell>
          <cell r="I25" t="str">
            <v>picNigeria</v>
          </cell>
        </row>
        <row r="26">
          <cell r="B26" t="str">
            <v>Brasilia</v>
          </cell>
          <cell r="C26">
            <v>-4</v>
          </cell>
          <cell r="E26" t="str">
            <v>Portuguese</v>
          </cell>
          <cell r="G26" t="str">
            <v>Germany</v>
          </cell>
          <cell r="H26">
            <v>1340</v>
          </cell>
          <cell r="I26" t="str">
            <v>picGermany</v>
          </cell>
        </row>
        <row r="27">
          <cell r="B27" t="str">
            <v>Brisbane</v>
          </cell>
          <cell r="C27">
            <v>9</v>
          </cell>
          <cell r="E27" t="str">
            <v>Romanian</v>
          </cell>
          <cell r="G27" t="str">
            <v>Portugal</v>
          </cell>
          <cell r="H27">
            <v>1245</v>
          </cell>
          <cell r="I27" t="str">
            <v>picPortugal</v>
          </cell>
        </row>
        <row r="28">
          <cell r="B28" t="str">
            <v xml:space="preserve">Brussels </v>
          </cell>
          <cell r="C28">
            <v>1</v>
          </cell>
          <cell r="E28" t="str">
            <v>Russian</v>
          </cell>
          <cell r="G28" t="str">
            <v>Ghana</v>
          </cell>
          <cell r="H28">
            <v>713</v>
          </cell>
          <cell r="I28" t="str">
            <v>picGhana</v>
          </cell>
        </row>
        <row r="29">
          <cell r="B29" t="str">
            <v xml:space="preserve">Bucharest </v>
          </cell>
          <cell r="C29">
            <v>2</v>
          </cell>
          <cell r="E29" t="str">
            <v>Slovak</v>
          </cell>
          <cell r="G29" t="str">
            <v>USA</v>
          </cell>
          <cell r="H29">
            <v>1015</v>
          </cell>
          <cell r="I29" t="str">
            <v>picUSA</v>
          </cell>
        </row>
        <row r="30">
          <cell r="B30" t="str">
            <v xml:space="preserve">Budapest </v>
          </cell>
          <cell r="C30">
            <v>1</v>
          </cell>
          <cell r="E30" t="str">
            <v>Spanish</v>
          </cell>
          <cell r="G30" t="str">
            <v>Belgium</v>
          </cell>
          <cell r="H30">
            <v>1039</v>
          </cell>
          <cell r="I30" t="str">
            <v>picBelgium</v>
          </cell>
        </row>
        <row r="31">
          <cell r="B31" t="str">
            <v>Buenos Aires</v>
          </cell>
          <cell r="C31">
            <v>-4</v>
          </cell>
          <cell r="E31" t="str">
            <v>Swedish</v>
          </cell>
          <cell r="G31" t="str">
            <v>Algeria</v>
          </cell>
          <cell r="H31">
            <v>795</v>
          </cell>
          <cell r="I31" t="str">
            <v>picAlgeria</v>
          </cell>
        </row>
        <row r="32">
          <cell r="B32" t="str">
            <v>Cairo</v>
          </cell>
          <cell r="C32">
            <v>1</v>
          </cell>
          <cell r="E32" t="str">
            <v>Turkish</v>
          </cell>
          <cell r="G32" t="str">
            <v>Russia</v>
          </cell>
          <cell r="H32">
            <v>903</v>
          </cell>
          <cell r="I32" t="str">
            <v>picRussia</v>
          </cell>
        </row>
        <row r="33">
          <cell r="B33" t="str">
            <v>Canberra</v>
          </cell>
          <cell r="C33">
            <v>9</v>
          </cell>
          <cell r="E33" t="str">
            <v>Ukrainian</v>
          </cell>
          <cell r="G33" t="str">
            <v>South Korea</v>
          </cell>
          <cell r="H33">
            <v>551</v>
          </cell>
          <cell r="I33" t="str">
            <v>picKorea</v>
          </cell>
        </row>
        <row r="34">
          <cell r="B34" t="str">
            <v>Cape Town</v>
          </cell>
          <cell r="C34">
            <v>1</v>
          </cell>
        </row>
        <row r="35">
          <cell r="B35" t="str">
            <v>Caracas</v>
          </cell>
          <cell r="C35">
            <v>-5.5</v>
          </cell>
        </row>
        <row r="36">
          <cell r="B36" t="str">
            <v>Casablanca</v>
          </cell>
          <cell r="C36">
            <v>-1</v>
          </cell>
        </row>
        <row r="37">
          <cell r="B37" t="str">
            <v xml:space="preserve">Chicago </v>
          </cell>
          <cell r="C37">
            <v>-6</v>
          </cell>
        </row>
        <row r="38">
          <cell r="B38" t="str">
            <v xml:space="preserve">Copenhagen </v>
          </cell>
          <cell r="C38">
            <v>1</v>
          </cell>
        </row>
        <row r="39">
          <cell r="B39" t="str">
            <v>Darwin</v>
          </cell>
          <cell r="C39">
            <v>8.5</v>
          </cell>
        </row>
        <row r="40">
          <cell r="B40" t="str">
            <v xml:space="preserve">Denver </v>
          </cell>
          <cell r="C40">
            <v>-7</v>
          </cell>
        </row>
        <row r="41">
          <cell r="B41" t="str">
            <v xml:space="preserve">Detroit </v>
          </cell>
          <cell r="C41">
            <v>-5</v>
          </cell>
        </row>
        <row r="42">
          <cell r="B42" t="str">
            <v>Dhaka</v>
          </cell>
          <cell r="C42">
            <v>5</v>
          </cell>
        </row>
        <row r="43">
          <cell r="B43" t="str">
            <v>Dubai</v>
          </cell>
          <cell r="C43">
            <v>3</v>
          </cell>
        </row>
        <row r="44">
          <cell r="B44" t="str">
            <v xml:space="preserve">Dublin </v>
          </cell>
          <cell r="C44">
            <v>0</v>
          </cell>
        </row>
        <row r="45">
          <cell r="B45" t="str">
            <v xml:space="preserve">Edmonton </v>
          </cell>
          <cell r="C45">
            <v>-7</v>
          </cell>
        </row>
        <row r="46">
          <cell r="B46" t="str">
            <v xml:space="preserve">Frankfurt </v>
          </cell>
          <cell r="C46">
            <v>1</v>
          </cell>
        </row>
        <row r="47">
          <cell r="B47" t="str">
            <v xml:space="preserve">Geneva </v>
          </cell>
          <cell r="C47">
            <v>1</v>
          </cell>
        </row>
        <row r="48">
          <cell r="B48" t="str">
            <v>Guatemala</v>
          </cell>
          <cell r="C48">
            <v>-7</v>
          </cell>
        </row>
        <row r="49">
          <cell r="B49" t="str">
            <v xml:space="preserve">Halifax </v>
          </cell>
          <cell r="C49">
            <v>-4</v>
          </cell>
        </row>
        <row r="50">
          <cell r="B50" t="str">
            <v>Hanoi</v>
          </cell>
          <cell r="C50">
            <v>6</v>
          </cell>
        </row>
        <row r="51">
          <cell r="B51" t="str">
            <v>Harare</v>
          </cell>
          <cell r="C51">
            <v>1</v>
          </cell>
        </row>
        <row r="52">
          <cell r="B52" t="str">
            <v xml:space="preserve">Havana </v>
          </cell>
          <cell r="C52">
            <v>-5</v>
          </cell>
        </row>
        <row r="53">
          <cell r="B53" t="str">
            <v xml:space="preserve">Helsinki </v>
          </cell>
          <cell r="C53">
            <v>2</v>
          </cell>
        </row>
        <row r="54">
          <cell r="B54" t="str">
            <v>Hong Kong</v>
          </cell>
          <cell r="C54">
            <v>7</v>
          </cell>
        </row>
        <row r="55">
          <cell r="B55" t="str">
            <v>Honolulu</v>
          </cell>
          <cell r="C55">
            <v>-11</v>
          </cell>
        </row>
        <row r="56">
          <cell r="B56" t="str">
            <v xml:space="preserve">Houston </v>
          </cell>
          <cell r="C56">
            <v>-6</v>
          </cell>
        </row>
        <row r="57">
          <cell r="B57" t="str">
            <v xml:space="preserve">Indianapolis </v>
          </cell>
          <cell r="C57">
            <v>-5</v>
          </cell>
        </row>
        <row r="58">
          <cell r="B58" t="str">
            <v>Islamabad</v>
          </cell>
          <cell r="C58">
            <v>4</v>
          </cell>
        </row>
        <row r="59">
          <cell r="B59" t="str">
            <v xml:space="preserve">Istanbul </v>
          </cell>
          <cell r="C59">
            <v>2</v>
          </cell>
        </row>
        <row r="60">
          <cell r="B60" t="str">
            <v>Jakarta</v>
          </cell>
          <cell r="C60">
            <v>6</v>
          </cell>
        </row>
        <row r="61">
          <cell r="B61" t="str">
            <v xml:space="preserve">Jerusalem </v>
          </cell>
          <cell r="C61">
            <v>2</v>
          </cell>
        </row>
        <row r="62">
          <cell r="B62" t="str">
            <v>Johannesburg</v>
          </cell>
          <cell r="C62">
            <v>1</v>
          </cell>
        </row>
        <row r="63">
          <cell r="B63" t="str">
            <v>Kabul</v>
          </cell>
          <cell r="C63">
            <v>3.5</v>
          </cell>
        </row>
        <row r="64">
          <cell r="B64" t="str">
            <v xml:space="preserve">Kamchatka </v>
          </cell>
          <cell r="C64">
            <v>12</v>
          </cell>
        </row>
        <row r="65">
          <cell r="B65" t="str">
            <v>Karachi</v>
          </cell>
          <cell r="C65">
            <v>4</v>
          </cell>
        </row>
        <row r="66">
          <cell r="B66" t="str">
            <v>Khartoum</v>
          </cell>
          <cell r="C66">
            <v>2</v>
          </cell>
        </row>
        <row r="67">
          <cell r="B67" t="str">
            <v>Kingston</v>
          </cell>
          <cell r="C67">
            <v>-6</v>
          </cell>
        </row>
        <row r="68">
          <cell r="B68" t="str">
            <v>Kiritimati</v>
          </cell>
          <cell r="C68">
            <v>13</v>
          </cell>
        </row>
        <row r="69">
          <cell r="B69" t="str">
            <v>Kolkata</v>
          </cell>
          <cell r="C69">
            <v>4.5</v>
          </cell>
        </row>
        <row r="70">
          <cell r="B70" t="str">
            <v>Kuala Lumpur</v>
          </cell>
          <cell r="C70">
            <v>7</v>
          </cell>
        </row>
        <row r="71">
          <cell r="B71" t="str">
            <v>Kuwait City</v>
          </cell>
          <cell r="C71">
            <v>2</v>
          </cell>
        </row>
        <row r="72">
          <cell r="B72" t="str">
            <v xml:space="preserve">Kyiv </v>
          </cell>
          <cell r="C72">
            <v>2</v>
          </cell>
        </row>
        <row r="73">
          <cell r="B73" t="str">
            <v>La Paz</v>
          </cell>
          <cell r="C73">
            <v>-5</v>
          </cell>
        </row>
        <row r="74">
          <cell r="B74" t="str">
            <v>Lagos</v>
          </cell>
          <cell r="C74">
            <v>0</v>
          </cell>
        </row>
        <row r="75">
          <cell r="B75" t="str">
            <v>Lahore</v>
          </cell>
          <cell r="C75">
            <v>4</v>
          </cell>
        </row>
        <row r="76">
          <cell r="B76" t="str">
            <v>Lima</v>
          </cell>
          <cell r="C76">
            <v>-6</v>
          </cell>
        </row>
        <row r="77">
          <cell r="B77" t="str">
            <v xml:space="preserve">Lisbon </v>
          </cell>
          <cell r="C77">
            <v>0</v>
          </cell>
        </row>
        <row r="78">
          <cell r="B78" t="str">
            <v xml:space="preserve">London </v>
          </cell>
          <cell r="C78">
            <v>0</v>
          </cell>
        </row>
        <row r="79">
          <cell r="B79" t="str">
            <v xml:space="preserve">Los Angeles </v>
          </cell>
          <cell r="C79">
            <v>-8</v>
          </cell>
        </row>
        <row r="80">
          <cell r="B80" t="str">
            <v xml:space="preserve">Madrid </v>
          </cell>
          <cell r="C80">
            <v>1</v>
          </cell>
        </row>
        <row r="81">
          <cell r="B81" t="str">
            <v>Managua</v>
          </cell>
          <cell r="C81">
            <v>-7</v>
          </cell>
        </row>
        <row r="82">
          <cell r="B82" t="str">
            <v>Manila</v>
          </cell>
          <cell r="C82">
            <v>7</v>
          </cell>
        </row>
        <row r="83">
          <cell r="B83" t="str">
            <v>Melbourne</v>
          </cell>
          <cell r="C83">
            <v>9</v>
          </cell>
        </row>
        <row r="84">
          <cell r="B84" t="str">
            <v xml:space="preserve">Mexico City </v>
          </cell>
          <cell r="C84">
            <v>-6</v>
          </cell>
        </row>
        <row r="85">
          <cell r="B85" t="str">
            <v xml:space="preserve">Miami </v>
          </cell>
          <cell r="C85">
            <v>-5</v>
          </cell>
        </row>
        <row r="86">
          <cell r="B86" t="str">
            <v xml:space="preserve">Minneapolis </v>
          </cell>
          <cell r="C86">
            <v>-6</v>
          </cell>
        </row>
        <row r="87">
          <cell r="B87" t="str">
            <v xml:space="preserve">Minsk </v>
          </cell>
          <cell r="C87">
            <v>2</v>
          </cell>
        </row>
        <row r="88">
          <cell r="B88" t="str">
            <v>Montevideo</v>
          </cell>
          <cell r="C88">
            <v>-4</v>
          </cell>
        </row>
        <row r="89">
          <cell r="B89" t="str">
            <v xml:space="preserve">Montgomery </v>
          </cell>
          <cell r="C89">
            <v>-6</v>
          </cell>
        </row>
        <row r="90">
          <cell r="B90" t="str">
            <v xml:space="preserve">Montreal </v>
          </cell>
          <cell r="C90">
            <v>-5</v>
          </cell>
        </row>
        <row r="91">
          <cell r="B91" t="str">
            <v xml:space="preserve">Moscow </v>
          </cell>
          <cell r="C91">
            <v>3</v>
          </cell>
        </row>
        <row r="92">
          <cell r="B92" t="str">
            <v>Mumbai</v>
          </cell>
          <cell r="C92">
            <v>4.5</v>
          </cell>
        </row>
        <row r="93">
          <cell r="B93" t="str">
            <v>Nairobi</v>
          </cell>
          <cell r="C93">
            <v>2</v>
          </cell>
        </row>
        <row r="94">
          <cell r="B94" t="str">
            <v xml:space="preserve">Nassau </v>
          </cell>
          <cell r="C94">
            <v>-5</v>
          </cell>
        </row>
        <row r="95">
          <cell r="B95" t="str">
            <v>New Delhi</v>
          </cell>
          <cell r="C95">
            <v>4.5</v>
          </cell>
        </row>
        <row r="96">
          <cell r="B96" t="str">
            <v xml:space="preserve">New Orleans </v>
          </cell>
          <cell r="C96">
            <v>-6</v>
          </cell>
        </row>
        <row r="97">
          <cell r="B97" t="str">
            <v xml:space="preserve">New York </v>
          </cell>
          <cell r="C97">
            <v>-5</v>
          </cell>
        </row>
        <row r="98">
          <cell r="B98" t="str">
            <v xml:space="preserve">Oslo </v>
          </cell>
          <cell r="C98">
            <v>1</v>
          </cell>
        </row>
        <row r="99">
          <cell r="B99" t="str">
            <v xml:space="preserve">Ottawa </v>
          </cell>
          <cell r="C99">
            <v>-5</v>
          </cell>
        </row>
        <row r="100">
          <cell r="B100" t="str">
            <v xml:space="preserve">Paris </v>
          </cell>
          <cell r="C100">
            <v>1</v>
          </cell>
        </row>
        <row r="101">
          <cell r="B101" t="str">
            <v>Perth</v>
          </cell>
          <cell r="C101">
            <v>7</v>
          </cell>
        </row>
        <row r="102">
          <cell r="B102" t="str">
            <v xml:space="preserve">Philadelphia </v>
          </cell>
          <cell r="C102">
            <v>-5</v>
          </cell>
        </row>
        <row r="103">
          <cell r="B103" t="str">
            <v>Phoenix</v>
          </cell>
          <cell r="C103">
            <v>-8</v>
          </cell>
        </row>
        <row r="104">
          <cell r="B104" t="str">
            <v xml:space="preserve">Prague </v>
          </cell>
          <cell r="C104">
            <v>1</v>
          </cell>
        </row>
        <row r="105">
          <cell r="B105" t="str">
            <v>Reykjavik</v>
          </cell>
          <cell r="C105">
            <v>-1</v>
          </cell>
        </row>
        <row r="106">
          <cell r="B106" t="str">
            <v>Rio de Janeiro</v>
          </cell>
          <cell r="C106">
            <v>-4</v>
          </cell>
        </row>
        <row r="107">
          <cell r="B107" t="str">
            <v>Riyadh</v>
          </cell>
          <cell r="C107">
            <v>2</v>
          </cell>
        </row>
        <row r="108">
          <cell r="B108" t="str">
            <v xml:space="preserve">Rome </v>
          </cell>
          <cell r="C108">
            <v>1</v>
          </cell>
        </row>
        <row r="109">
          <cell r="B109" t="str">
            <v xml:space="preserve">San Francisco </v>
          </cell>
          <cell r="C109">
            <v>-8</v>
          </cell>
        </row>
        <row r="110">
          <cell r="B110" t="str">
            <v>San Juan</v>
          </cell>
          <cell r="C110">
            <v>-5</v>
          </cell>
        </row>
        <row r="111">
          <cell r="B111" t="str">
            <v>San Salvador</v>
          </cell>
          <cell r="C111">
            <v>-7</v>
          </cell>
        </row>
        <row r="112">
          <cell r="B112" t="str">
            <v>Santiago</v>
          </cell>
          <cell r="C112">
            <v>-5</v>
          </cell>
        </row>
        <row r="113">
          <cell r="B113" t="str">
            <v>Santo Domingo</v>
          </cell>
          <cell r="C113">
            <v>-5</v>
          </cell>
        </row>
        <row r="114">
          <cell r="B114" t="str">
            <v>Sao Paulo</v>
          </cell>
          <cell r="C114">
            <v>-4</v>
          </cell>
        </row>
        <row r="115">
          <cell r="B115" t="str">
            <v xml:space="preserve">Seattle </v>
          </cell>
          <cell r="C115">
            <v>-8</v>
          </cell>
        </row>
        <row r="116">
          <cell r="B116" t="str">
            <v>Seoul</v>
          </cell>
          <cell r="C116">
            <v>8</v>
          </cell>
        </row>
        <row r="117">
          <cell r="B117" t="str">
            <v>Shanghai</v>
          </cell>
          <cell r="C117">
            <v>7</v>
          </cell>
        </row>
        <row r="118">
          <cell r="B118" t="str">
            <v>Singapore</v>
          </cell>
          <cell r="C118">
            <v>7</v>
          </cell>
        </row>
        <row r="119">
          <cell r="B119" t="str">
            <v xml:space="preserve">Sofia </v>
          </cell>
          <cell r="C119">
            <v>2</v>
          </cell>
        </row>
        <row r="120">
          <cell r="B120" t="str">
            <v xml:space="preserve">St. John's </v>
          </cell>
          <cell r="C120">
            <v>-3</v>
          </cell>
        </row>
        <row r="121">
          <cell r="B121" t="str">
            <v xml:space="preserve">St. Paul </v>
          </cell>
          <cell r="C121">
            <v>-6</v>
          </cell>
        </row>
        <row r="122">
          <cell r="B122" t="str">
            <v xml:space="preserve">Stockholm </v>
          </cell>
          <cell r="C122">
            <v>1</v>
          </cell>
        </row>
        <row r="123">
          <cell r="B123" t="str">
            <v>Suva</v>
          </cell>
          <cell r="C123">
            <v>11</v>
          </cell>
        </row>
        <row r="124">
          <cell r="B124" t="str">
            <v>Sydney</v>
          </cell>
          <cell r="C124">
            <v>9</v>
          </cell>
        </row>
        <row r="125">
          <cell r="B125" t="str">
            <v>Taipei</v>
          </cell>
          <cell r="C125">
            <v>7</v>
          </cell>
        </row>
        <row r="126">
          <cell r="B126" t="str">
            <v xml:space="preserve">Tallinn </v>
          </cell>
          <cell r="C126">
            <v>2</v>
          </cell>
        </row>
        <row r="127">
          <cell r="B127" t="str">
            <v>Tashkent</v>
          </cell>
          <cell r="C127">
            <v>4</v>
          </cell>
        </row>
        <row r="128">
          <cell r="B128" t="str">
            <v>Tegucigalpa</v>
          </cell>
          <cell r="C128">
            <v>-7</v>
          </cell>
        </row>
        <row r="129">
          <cell r="B129" t="str">
            <v xml:space="preserve">Tehran </v>
          </cell>
          <cell r="C129">
            <v>3.5</v>
          </cell>
        </row>
        <row r="130">
          <cell r="B130" t="str">
            <v>Tokyo</v>
          </cell>
          <cell r="C130">
            <v>8</v>
          </cell>
        </row>
        <row r="131">
          <cell r="B131" t="str">
            <v xml:space="preserve">Toronto </v>
          </cell>
          <cell r="C131">
            <v>-5</v>
          </cell>
        </row>
        <row r="132">
          <cell r="B132" t="str">
            <v xml:space="preserve">Vancouver </v>
          </cell>
          <cell r="C132">
            <v>-8</v>
          </cell>
        </row>
        <row r="133">
          <cell r="B133" t="str">
            <v xml:space="preserve">Vienna </v>
          </cell>
          <cell r="C133">
            <v>1</v>
          </cell>
        </row>
        <row r="134">
          <cell r="B134" t="str">
            <v xml:space="preserve">Vladivostok </v>
          </cell>
          <cell r="C134">
            <v>10</v>
          </cell>
        </row>
        <row r="135">
          <cell r="B135" t="str">
            <v xml:space="preserve">Warsaw </v>
          </cell>
          <cell r="C135">
            <v>1</v>
          </cell>
        </row>
        <row r="136">
          <cell r="B136" t="str">
            <v xml:space="preserve">Washington DC </v>
          </cell>
          <cell r="C136">
            <v>-5</v>
          </cell>
        </row>
        <row r="137">
          <cell r="B137" t="str">
            <v xml:space="preserve">Winnipeg </v>
          </cell>
          <cell r="C137">
            <v>-6</v>
          </cell>
        </row>
        <row r="138">
          <cell r="B138" t="str">
            <v>Yangon</v>
          </cell>
          <cell r="C138">
            <v>5.5</v>
          </cell>
        </row>
        <row r="139">
          <cell r="B139" t="str">
            <v xml:space="preserve">Zagreb </v>
          </cell>
          <cell r="C139">
            <v>1</v>
          </cell>
        </row>
        <row r="140">
          <cell r="B140" t="str">
            <v xml:space="preserve">Zürich </v>
          </cell>
          <cell r="C140">
            <v>1</v>
          </cell>
        </row>
      </sheetData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88D68-97DC-4DEA-8A04-337B9F22862F}" name="Table133" displayName="Table133" ref="A1:G43" totalsRowShown="0" headerRowDxfId="25" dataDxfId="23" headerRowBorderDxfId="24" tableBorderDxfId="22" totalsRowBorderDxfId="21">
  <sortState xmlns:xlrd2="http://schemas.microsoft.com/office/spreadsheetml/2017/richdata2" ref="A2:G41">
    <sortCondition ref="A2:A41"/>
  </sortState>
  <tableColumns count="7">
    <tableColumn id="13" xr3:uid="{C518137C-DA7B-4A81-B4FF-70143F024B4D}" name="English" dataDxfId="20"/>
    <tableColumn id="15" xr3:uid="{C29E0B1A-1398-444E-AF5D-D9000E511D9F}" name="French" dataDxfId="19"/>
    <tableColumn id="16" xr3:uid="{21DCD92A-A664-4026-A193-7C68B63E693D}" name="German" dataDxfId="18"/>
    <tableColumn id="20" xr3:uid="{96B0E7A0-B2E3-4842-9CD0-FB5FC2334B4B}" name="Italian" dataDxfId="17"/>
    <tableColumn id="27" xr3:uid="{3C2FED19-6356-4C38-9095-87A4C142F129}" name="Portuguese" dataDxfId="16"/>
    <tableColumn id="29" xr3:uid="{113A82B4-887E-431F-9446-2072B04844F8}" name="Russian" dataDxfId="15"/>
    <tableColumn id="31" xr3:uid="{C7F11C17-CE06-4A28-8256-FF47BA7E18E6}" name="Spanish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1:I74" totalsRowShown="0" headerRowDxfId="13" dataDxfId="11" headerRowBorderDxfId="12" tableBorderDxfId="10" totalsRowBorderDxfId="9">
  <tableColumns count="9">
    <tableColumn id="1" xr3:uid="{00000000-0010-0000-0000-000001000000}" name="No" dataDxfId="8"/>
    <tableColumn id="2" xr3:uid="{00000000-0010-0000-0000-000002000000}" name="Column1" dataDxfId="7"/>
    <tableColumn id="13" xr3:uid="{00000000-0010-0000-0000-00000D000000}" name="English" dataDxfId="6"/>
    <tableColumn id="15" xr3:uid="{00000000-0010-0000-0000-00000F000000}" name="French" dataDxfId="5"/>
    <tableColumn id="16" xr3:uid="{00000000-0010-0000-0000-000010000000}" name="German" dataDxfId="4"/>
    <tableColumn id="20" xr3:uid="{00000000-0010-0000-0000-000014000000}" name="Italian" dataDxfId="3"/>
    <tableColumn id="27" xr3:uid="{00000000-0010-0000-0000-00001B000000}" name="Portuguese" dataDxfId="2"/>
    <tableColumn id="29" xr3:uid="{00000000-0010-0000-0000-00001D000000}" name="Russian" dataDxfId="1"/>
    <tableColumn id="31" xr3:uid="{00000000-0010-0000-0000-00001F000000}" name="Spanis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buy.io/eufyuk/w4atnqfh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ccerwallcharts.com/" TargetMode="External"/><Relationship Id="rId1" Type="http://schemas.openxmlformats.org/officeDocument/2006/relationships/hyperlink" Target="http://soccerwallcharts.com/fifa-lots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buy.io/eufyuk/w4atnqfh" TargetMode="External"/><Relationship Id="rId4" Type="http://schemas.openxmlformats.org/officeDocument/2006/relationships/hyperlink" Target="https://fbuy.io/eufyuk/w4atnqf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ko-fi.com/soccerwallcharts" TargetMode="External"/><Relationship Id="rId2" Type="http://schemas.openxmlformats.org/officeDocument/2006/relationships/hyperlink" Target="https://ko-fi.com/soccerwallcharts" TargetMode="External"/><Relationship Id="rId1" Type="http://schemas.openxmlformats.org/officeDocument/2006/relationships/hyperlink" Target="http://soccerwallcharts.com/feedback/" TargetMode="External"/><Relationship Id="rId4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97"/>
  <sheetViews>
    <sheetView tabSelected="1" zoomScale="96" zoomScaleNormal="96" zoomScaleSheetLayoutView="100" zoomScalePageLayoutView="200" workbookViewId="0">
      <selection activeCell="F16" sqref="F16"/>
    </sheetView>
  </sheetViews>
  <sheetFormatPr defaultColWidth="0" defaultRowHeight="15" zeroHeight="1" x14ac:dyDescent="0.25"/>
  <cols>
    <col min="1" max="1" width="1.7109375" style="36" customWidth="1"/>
    <col min="2" max="2" width="9.140625" style="36" bestFit="1" customWidth="1"/>
    <col min="3" max="3" width="17.140625" style="37" bestFit="1" customWidth="1"/>
    <col min="4" max="4" width="41.28515625" style="36" bestFit="1" customWidth="1"/>
    <col min="5" max="5" width="23.28515625" style="30" bestFit="1" customWidth="1"/>
    <col min="6" max="6" width="6" style="30" bestFit="1" customWidth="1"/>
    <col min="7" max="7" width="6" style="38" customWidth="1"/>
    <col min="8" max="8" width="23.28515625" style="38" bestFit="1" customWidth="1"/>
    <col min="9" max="9" width="6" style="30" customWidth="1"/>
    <col min="10" max="10" width="1.7109375" style="30" customWidth="1"/>
    <col min="11" max="11" width="4" style="34" customWidth="1"/>
    <col min="12" max="12" width="1.7109375" style="34" customWidth="1"/>
    <col min="13" max="13" width="20.5703125" style="34" bestFit="1" customWidth="1"/>
    <col min="14" max="14" width="3.7109375" style="34" bestFit="1" customWidth="1"/>
    <col min="15" max="15" width="3.28515625" style="34" bestFit="1" customWidth="1"/>
    <col min="16" max="16" width="3.42578125" style="34" bestFit="1" customWidth="1"/>
    <col min="17" max="17" width="3.7109375" style="34" bestFit="1" customWidth="1"/>
    <col min="18" max="18" width="3.5703125" style="34" bestFit="1" customWidth="1"/>
    <col min="19" max="19" width="11.28515625" style="34" customWidth="1"/>
    <col min="20" max="20" width="1.7109375" style="31" customWidth="1"/>
    <col min="21" max="198" width="8.85546875" style="30" hidden="1" customWidth="1"/>
    <col min="199" max="16384" width="8.85546875" style="30" hidden="1"/>
  </cols>
  <sheetData>
    <row r="1" spans="1:20" ht="7.9" customHeight="1" x14ac:dyDescent="0.25">
      <c r="A1" s="136" t="e">
        <f ca="1">Comp!A1</f>
        <v>#REF!</v>
      </c>
      <c r="B1" s="137" t="e">
        <f ca="1">Comp!B1</f>
        <v>#REF!</v>
      </c>
      <c r="C1" s="137" t="e">
        <f ca="1">Comp!C1</f>
        <v>#REF!</v>
      </c>
      <c r="D1" s="137" t="e">
        <f ca="1">Comp!D1</f>
        <v>#REF!</v>
      </c>
      <c r="E1" s="137">
        <f ca="1">Comp!E1</f>
        <v>0</v>
      </c>
      <c r="F1" s="137">
        <f ca="1">Comp!F1</f>
        <v>0</v>
      </c>
      <c r="G1" s="137">
        <f ca="1">Comp!G1</f>
        <v>0</v>
      </c>
      <c r="H1" s="137">
        <f ca="1">Comp!H1</f>
        <v>0</v>
      </c>
      <c r="I1" s="137">
        <f ca="1">Comp!I1</f>
        <v>0</v>
      </c>
      <c r="J1" s="137">
        <f ca="1">Comp!J1</f>
        <v>0</v>
      </c>
      <c r="K1" s="137"/>
      <c r="L1" s="137"/>
      <c r="M1" s="137">
        <f ca="1">Comp!K1</f>
        <v>0</v>
      </c>
      <c r="N1" s="137">
        <f ca="1">Comp!L1</f>
        <v>0</v>
      </c>
      <c r="O1" s="137">
        <f ca="1">Comp!M1</f>
        <v>0</v>
      </c>
      <c r="P1" s="137">
        <f ca="1">Comp!N1</f>
        <v>0</v>
      </c>
      <c r="Q1" s="137">
        <f ca="1">Comp!O1</f>
        <v>0</v>
      </c>
      <c r="R1" s="137">
        <f ca="1">Comp!P1</f>
        <v>0</v>
      </c>
      <c r="S1" s="137">
        <f ca="1">Comp!Q1</f>
        <v>0</v>
      </c>
      <c r="T1" s="138">
        <f ca="1">Comp!R1</f>
        <v>0</v>
      </c>
    </row>
    <row r="2" spans="1:20" ht="13.9" customHeight="1" x14ac:dyDescent="0.25">
      <c r="A2" s="139"/>
      <c r="B2" s="201" t="str">
        <f>VLOOKUP("Title",languages!B$74:I$74,VLOOKUP(P$4,languages!B$81:C$87,2))</f>
        <v>FIFA 2022 World Cup Qatar Spreadsheet</v>
      </c>
      <c r="C2" s="201"/>
      <c r="D2" s="201"/>
      <c r="E2" s="201"/>
      <c r="F2" s="201"/>
      <c r="G2" s="201"/>
      <c r="H2" s="201"/>
      <c r="I2" s="201"/>
      <c r="J2" s="201"/>
      <c r="K2" s="116"/>
      <c r="L2" s="116"/>
      <c r="M2" s="204" t="str">
        <f>CONCATENATE(VLOOKUP("Date",languages!B$39:I$39,VLOOKUP(P$4,languages!B$81:C$87,2))," &amp; ",VLOOKUP("Time",languages!B$42:I$42,VLOOKUP(P$4,languages!B$81:C$87,2)))</f>
        <v>Date &amp; Time</v>
      </c>
      <c r="N2" s="204"/>
      <c r="O2" s="204"/>
      <c r="P2" s="203">
        <f ca="1">NOW()</f>
        <v>44882.671406712965</v>
      </c>
      <c r="Q2" s="203"/>
      <c r="R2" s="203"/>
      <c r="S2" s="203"/>
      <c r="T2" s="132"/>
    </row>
    <row r="3" spans="1:20" ht="13.9" customHeight="1" x14ac:dyDescent="0.25">
      <c r="A3" s="140"/>
      <c r="B3" s="201"/>
      <c r="C3" s="201"/>
      <c r="D3" s="201"/>
      <c r="E3" s="201"/>
      <c r="F3" s="201"/>
      <c r="G3" s="201"/>
      <c r="H3" s="201"/>
      <c r="I3" s="201"/>
      <c r="J3" s="201"/>
      <c r="K3" s="116"/>
      <c r="L3" s="116"/>
      <c r="M3" s="204" t="str">
        <f>VLOOKUP("Timezone",languages!B$35:I$35,VLOOKUP(P$4,languages!B$81:C$87,2))</f>
        <v>Select Timezone</v>
      </c>
      <c r="N3" s="204"/>
      <c r="O3" s="204"/>
      <c r="P3" s="202" t="s">
        <v>120</v>
      </c>
      <c r="Q3" s="202"/>
      <c r="R3" s="202"/>
      <c r="S3" s="202"/>
      <c r="T3" s="141"/>
    </row>
    <row r="4" spans="1:20" ht="13.9" customHeight="1" x14ac:dyDescent="0.25">
      <c r="A4" s="140"/>
      <c r="B4" s="201"/>
      <c r="C4" s="201"/>
      <c r="D4" s="201"/>
      <c r="E4" s="201"/>
      <c r="F4" s="201"/>
      <c r="G4" s="201"/>
      <c r="H4" s="201"/>
      <c r="I4" s="201"/>
      <c r="J4" s="201"/>
      <c r="K4" s="155"/>
      <c r="L4" s="155"/>
      <c r="M4" s="204" t="str">
        <f>VLOOKUP("Language",languages!B$34:I$34,VLOOKUP(P$4,languages!B$81:C$87,2))</f>
        <v>Select Language</v>
      </c>
      <c r="N4" s="204"/>
      <c r="O4" s="204"/>
      <c r="P4" s="202" t="s">
        <v>285</v>
      </c>
      <c r="Q4" s="202"/>
      <c r="R4" s="202"/>
      <c r="S4" s="202"/>
      <c r="T4" s="141"/>
    </row>
    <row r="5" spans="1:20" ht="13.9" customHeight="1" x14ac:dyDescent="0.25">
      <c r="A5" s="139"/>
      <c r="B5" s="201"/>
      <c r="C5" s="201"/>
      <c r="D5" s="201"/>
      <c r="E5" s="201"/>
      <c r="F5" s="201"/>
      <c r="G5" s="201"/>
      <c r="H5" s="201"/>
      <c r="I5" s="201"/>
      <c r="J5" s="201"/>
      <c r="K5" s="116"/>
      <c r="L5" s="116"/>
      <c r="M5" s="204" t="s">
        <v>738</v>
      </c>
      <c r="N5" s="204"/>
      <c r="O5" s="204"/>
      <c r="P5" s="203">
        <f ca="1">P2-VLOOKUP(P3,Config!E2:F28,2)+1+VLOOKUP(M5,Config!I16:K27,3)/24+1</f>
        <v>44883.796406712965</v>
      </c>
      <c r="Q5" s="203"/>
      <c r="R5" s="203"/>
      <c r="S5" s="203"/>
      <c r="T5" s="132"/>
    </row>
    <row r="6" spans="1:20" ht="18.75" x14ac:dyDescent="0.25">
      <c r="A6" s="139"/>
      <c r="B6" s="205" t="str">
        <f ca="1">IF(Config!G54+Config!G55+Config!G56+Config!G57&gt;0,CONCATENATE("There are just ",Config!G54," days, ",Config!G55," hours, ",Config!G56," minutes and ",Config!G57," seconds"," to go before the tournament kicks off."),IF(C89-P2&lt;0,CONCATENATE("Congratulations to the 2014 FIFA World Cup Champions ",H91, ,"!!!"),"Tournament is in progress."))</f>
        <v>There are just 3 days, 23 hours, 53 minutes and 10 seconds to go before the tournament kicks off.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142"/>
    </row>
    <row r="7" spans="1:20" ht="17.45" customHeight="1" x14ac:dyDescent="0.25">
      <c r="A7" s="139"/>
      <c r="B7" s="240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142"/>
    </row>
    <row r="8" spans="1:20" ht="36.6" customHeight="1" x14ac:dyDescent="0.55000000000000004">
      <c r="A8" s="143"/>
      <c r="B8" s="188"/>
      <c r="C8" s="212" t="s">
        <v>811</v>
      </c>
      <c r="D8" s="212"/>
      <c r="E8" s="212"/>
      <c r="F8" s="212"/>
      <c r="G8" s="212"/>
      <c r="H8" s="193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189"/>
      <c r="T8" s="190"/>
    </row>
    <row r="9" spans="1:20" ht="17.45" customHeight="1" x14ac:dyDescent="0.3">
      <c r="A9" s="143"/>
      <c r="B9" s="191"/>
      <c r="C9" s="236" t="s">
        <v>816</v>
      </c>
      <c r="D9" s="236"/>
      <c r="E9" s="236"/>
      <c r="F9" s="236"/>
      <c r="G9" s="236"/>
      <c r="H9" s="193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191"/>
      <c r="T9" s="190"/>
    </row>
    <row r="10" spans="1:20" ht="23.45" customHeight="1" x14ac:dyDescent="0.25">
      <c r="A10" s="143"/>
      <c r="B10" s="191"/>
      <c r="C10" s="237" t="s">
        <v>815</v>
      </c>
      <c r="D10" s="237"/>
      <c r="E10" s="237"/>
      <c r="F10" s="237"/>
      <c r="G10" s="237"/>
      <c r="H10" s="192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2"/>
      <c r="T10" s="190"/>
    </row>
    <row r="11" spans="1:20" s="36" customFormat="1" x14ac:dyDescent="0.25">
      <c r="A11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42"/>
    </row>
    <row r="12" spans="1:20" s="36" customFormat="1" ht="15.75" x14ac:dyDescent="0.25">
      <c r="A12" s="139"/>
      <c r="B12" s="238" t="str">
        <f>IF(F89+G89&gt;0,HYPERLINK(CONCATENATE("https://twitter.com/intent/tweet?button_hashtag=WorldCup2022 ",twitter!A1),twitter!A2),"")</f>
        <v/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142"/>
    </row>
    <row r="13" spans="1:20" s="36" customFormat="1" ht="15.75" thickBot="1" x14ac:dyDescent="0.3">
      <c r="A13" s="139"/>
      <c r="B13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42"/>
    </row>
    <row r="14" spans="1:20" s="36" customFormat="1" ht="14.45" customHeight="1" x14ac:dyDescent="0.25">
      <c r="A14" s="139"/>
      <c r="B14" s="68" t="s">
        <v>215</v>
      </c>
      <c r="C14" s="69"/>
      <c r="D14" s="69"/>
      <c r="E14" s="69"/>
      <c r="F14" s="206"/>
      <c r="G14" s="206"/>
      <c r="H14" s="69"/>
      <c r="I14" s="70"/>
      <c r="J14" s="89"/>
      <c r="K14" s="219" t="str">
        <f>IF(Config!A152=1,HYPERLINK(Config!E155,Config!D155),IF(Config!A152=2,HYPERLINK(Config!E156,Config!D156),IF(Config!A152=3,HYPERLINK(Config!E157,Config!D157),IF(Config!A152=4,HYPERLINK(Config!E158,Config!D158),HYPERLINK(Config!E159,Config!D159)))))</f>
        <v>Click here to buy us a coffee</v>
      </c>
      <c r="L14" s="89"/>
      <c r="M14" s="241" t="str">
        <f ca="1">VLOOKUP(Config!A154,Config!A155:D159,2)</f>
        <v>Uprotected Version Available</v>
      </c>
      <c r="N14" s="242"/>
      <c r="O14" s="242"/>
      <c r="P14" s="242"/>
      <c r="Q14" s="242"/>
      <c r="R14" s="242"/>
      <c r="S14" s="243"/>
      <c r="T14" s="112"/>
    </row>
    <row r="15" spans="1:20" s="31" customFormat="1" ht="15.75" thickBot="1" x14ac:dyDescent="0.3">
      <c r="A15" s="139"/>
      <c r="B15" s="71" t="str">
        <f>VLOOKUP("Match #",languages!B$53:I$53,VLOOKUP(P$4,languages!B$81:C$87,2))</f>
        <v>Match No</v>
      </c>
      <c r="C15" s="72" t="str">
        <f>CONCATENATE(VLOOKUP("Date",languages!B$39:I$39,VLOOKUP(P$4,languages!B$81:C$87,2))," / ",VLOOKUP("Time",languages!B$42:I$42,VLOOKUP(P$4,languages!B$81:C$87,2)))</f>
        <v>Date / Time</v>
      </c>
      <c r="D15" s="72" t="str">
        <f>'Match data'!L1</f>
        <v>Stadium</v>
      </c>
      <c r="E15" s="72" t="str">
        <f>VLOOKUP("Country",languages!B$40:I$40,VLOOKUP(P$4,languages!B$81:C$87,2))</f>
        <v>Country</v>
      </c>
      <c r="F15" s="204" t="str">
        <f>VLOOKUP("Score",languages!B$41:I$41,VLOOKUP(P$4,languages!B$81:C$87,2))</f>
        <v>Result</v>
      </c>
      <c r="G15" s="204"/>
      <c r="H15" s="72" t="str">
        <f>VLOOKUP("Country",languages!B$40:I$40,VLOOKUP(P$4,languages!B$81:C$87,2))</f>
        <v>Country</v>
      </c>
      <c r="I15" s="73" t="s">
        <v>205</v>
      </c>
      <c r="J15" s="33"/>
      <c r="K15" s="220"/>
      <c r="L15" s="33"/>
      <c r="M15" s="244"/>
      <c r="N15" s="245"/>
      <c r="O15" s="245"/>
      <c r="P15" s="245"/>
      <c r="Q15" s="245"/>
      <c r="R15" s="245"/>
      <c r="S15" s="246"/>
      <c r="T15" s="112"/>
    </row>
    <row r="16" spans="1:20" s="36" customFormat="1" x14ac:dyDescent="0.25">
      <c r="A16" s="139"/>
      <c r="B16" s="180" t="s">
        <v>739</v>
      </c>
      <c r="C16" s="66">
        <f>'Match data'!E2+'Match data'!N2+VLOOKUP(P$3,Config!E$2:G$28,2)-1</f>
        <v>44885.666666666664</v>
      </c>
      <c r="D16" s="67" t="str">
        <f>'Match data'!L2</f>
        <v>Al Bayt Stadium</v>
      </c>
      <c r="E16" s="67" t="str">
        <f>'Match data'!H2</f>
        <v>Qatar</v>
      </c>
      <c r="F16" s="75"/>
      <c r="G16" s="75"/>
      <c r="H16" s="67" t="str">
        <f>'Match data'!K2</f>
        <v>Ecuador</v>
      </c>
      <c r="I16" s="74" t="str">
        <f>'Match data'!C2</f>
        <v>A</v>
      </c>
      <c r="J16" s="31"/>
      <c r="K16" s="220"/>
      <c r="L16" s="31"/>
      <c r="M16" s="253" t="str">
        <f ca="1">VLOOKUP(Config!A154,Config!A155:D159,3)</f>
        <v>If you want to see how this Excel workbook is constructed then we have an unprotected (sheets and workbook) version available. Click the link below to find out more</v>
      </c>
      <c r="N16" s="254"/>
      <c r="O16" s="254"/>
      <c r="P16" s="254"/>
      <c r="Q16" s="254"/>
      <c r="R16" s="254"/>
      <c r="S16" s="255"/>
      <c r="T16" s="112"/>
    </row>
    <row r="17" spans="1:20" s="36" customFormat="1" x14ac:dyDescent="0.25">
      <c r="A17" s="139"/>
      <c r="B17" s="180" t="s">
        <v>740</v>
      </c>
      <c r="C17" s="66">
        <f>'Match data'!E3+'Match data'!N3+VLOOKUP(P$3,Config!E$2:G$28,2)-1</f>
        <v>44886.666666666664</v>
      </c>
      <c r="D17" s="67" t="str">
        <f>'Match data'!L3</f>
        <v>Al Thumama Stadium</v>
      </c>
      <c r="E17" s="67" t="str">
        <f>'Match data'!H3</f>
        <v>Senegal</v>
      </c>
      <c r="F17" s="75"/>
      <c r="G17" s="75"/>
      <c r="H17" s="67" t="str">
        <f>'Match data'!K3</f>
        <v>Netherlands</v>
      </c>
      <c r="I17" s="74" t="str">
        <f>'Match data'!C3</f>
        <v>A</v>
      </c>
      <c r="J17" s="31"/>
      <c r="K17" s="220"/>
      <c r="L17" s="31"/>
      <c r="M17" s="253"/>
      <c r="N17" s="254"/>
      <c r="O17" s="254"/>
      <c r="P17" s="254"/>
      <c r="Q17" s="254"/>
      <c r="R17" s="254"/>
      <c r="S17" s="255"/>
      <c r="T17" s="112"/>
    </row>
    <row r="18" spans="1:20" s="36" customFormat="1" x14ac:dyDescent="0.25">
      <c r="A18" s="139"/>
      <c r="B18" s="180" t="s">
        <v>741</v>
      </c>
      <c r="C18" s="66">
        <f>'Match data'!E4+'Match data'!N4+VLOOKUP(P$3,Config!E$2:G$28,2)-1</f>
        <v>44886.541666666664</v>
      </c>
      <c r="D18" s="67" t="str">
        <f>'Match data'!L4</f>
        <v>Khalifa International Stadium</v>
      </c>
      <c r="E18" s="67" t="str">
        <f>'Match data'!H4</f>
        <v>England</v>
      </c>
      <c r="F18" s="75"/>
      <c r="G18" s="75"/>
      <c r="H18" s="67" t="str">
        <f>'Match data'!K4</f>
        <v>Iran</v>
      </c>
      <c r="I18" s="74" t="str">
        <f>'Match data'!C4</f>
        <v>B</v>
      </c>
      <c r="J18" s="31"/>
      <c r="K18" s="220"/>
      <c r="L18" s="31"/>
      <c r="M18" s="253"/>
      <c r="N18" s="254"/>
      <c r="O18" s="254"/>
      <c r="P18" s="254"/>
      <c r="Q18" s="254"/>
      <c r="R18" s="254"/>
      <c r="S18" s="255"/>
      <c r="T18" s="112"/>
    </row>
    <row r="19" spans="1:20" s="36" customFormat="1" x14ac:dyDescent="0.25">
      <c r="A19" s="139"/>
      <c r="B19" s="180" t="s">
        <v>742</v>
      </c>
      <c r="C19" s="66">
        <f>'Match data'!E5+'Match data'!N5+VLOOKUP(P$3,Config!E$2:G$28,2)-1</f>
        <v>44886.791666666664</v>
      </c>
      <c r="D19" s="67" t="str">
        <f>'Match data'!L5</f>
        <v>Ahmad Bin Ali Stadium</v>
      </c>
      <c r="E19" s="67" t="str">
        <f>'Match data'!H5</f>
        <v>USA</v>
      </c>
      <c r="F19" s="75"/>
      <c r="G19" s="75"/>
      <c r="H19" s="67" t="str">
        <f>'Match data'!K5</f>
        <v>Wales</v>
      </c>
      <c r="I19" s="74" t="str">
        <f>'Match data'!C5</f>
        <v>B</v>
      </c>
      <c r="J19" s="31"/>
      <c r="K19" s="220"/>
      <c r="L19" s="31"/>
      <c r="M19" s="253"/>
      <c r="N19" s="254"/>
      <c r="O19" s="254"/>
      <c r="P19" s="254"/>
      <c r="Q19" s="254"/>
      <c r="R19" s="254"/>
      <c r="S19" s="255"/>
      <c r="T19" s="112"/>
    </row>
    <row r="20" spans="1:20" s="36" customFormat="1" x14ac:dyDescent="0.25">
      <c r="A20" s="139"/>
      <c r="B20" s="180" t="s">
        <v>743</v>
      </c>
      <c r="C20" s="66">
        <f>'Match data'!E6+'Match data'!N6+VLOOKUP(P$3,Config!E$2:G$28,2)-1</f>
        <v>44887.416666666664</v>
      </c>
      <c r="D20" s="67" t="str">
        <f>'Match data'!L6</f>
        <v>Lusail Stadium</v>
      </c>
      <c r="E20" s="67" t="str">
        <f>'Match data'!H6</f>
        <v>Argentina</v>
      </c>
      <c r="F20" s="75"/>
      <c r="G20" s="75"/>
      <c r="H20" s="67" t="str">
        <f>'Match data'!K6</f>
        <v>Saudi Arabia</v>
      </c>
      <c r="I20" s="74" t="str">
        <f>'Match data'!C6</f>
        <v>C</v>
      </c>
      <c r="J20" s="31"/>
      <c r="K20" s="220"/>
      <c r="L20" s="31"/>
      <c r="M20" s="253"/>
      <c r="N20" s="254"/>
      <c r="O20" s="254"/>
      <c r="P20" s="254"/>
      <c r="Q20" s="254"/>
      <c r="R20" s="254"/>
      <c r="S20" s="255"/>
      <c r="T20" s="112"/>
    </row>
    <row r="21" spans="1:20" s="36" customFormat="1" ht="14.45" customHeight="1" x14ac:dyDescent="0.25">
      <c r="A21" s="139"/>
      <c r="B21" s="180" t="s">
        <v>744</v>
      </c>
      <c r="C21" s="66">
        <f>'Match data'!E7+'Match data'!N7+VLOOKUP(P$3,Config!E$2:G$28,2)-1</f>
        <v>44887.791666666664</v>
      </c>
      <c r="D21" s="67" t="str">
        <f>'Match data'!L9</f>
        <v>Education City Stadium</v>
      </c>
      <c r="E21" s="67" t="str">
        <f>'Match data'!H9</f>
        <v>Denmark</v>
      </c>
      <c r="F21" s="75"/>
      <c r="G21" s="75"/>
      <c r="H21" s="67" t="str">
        <f>'Match data'!K9</f>
        <v>Tunisia</v>
      </c>
      <c r="I21" s="74" t="str">
        <f>'Match data'!C9</f>
        <v>D</v>
      </c>
      <c r="J21" s="31"/>
      <c r="K21" s="220"/>
      <c r="L21" s="31"/>
      <c r="M21" s="247" t="str">
        <f ca="1">IF(Config!A154=1,HYPERLINK(Config!E155,Config!D155),IF(Config!A154=2,HYPERLINK(Config!E156,Config!D156),IF(Config!A154=3,HYPERLINK(Config!E157,Config!D157),IF(Config!A154=4,HYPERLINK(Config!E158,Config!D158),HYPERLINK(Config!E159,Config!D159)))))</f>
        <v>Click here to find out more</v>
      </c>
      <c r="N21" s="248"/>
      <c r="O21" s="248"/>
      <c r="P21" s="248"/>
      <c r="Q21" s="248"/>
      <c r="R21" s="248"/>
      <c r="S21" s="249"/>
      <c r="T21" s="112"/>
    </row>
    <row r="22" spans="1:20" s="36" customFormat="1" ht="14.45" customHeight="1" thickBot="1" x14ac:dyDescent="0.3">
      <c r="A22" s="139"/>
      <c r="B22" s="180" t="s">
        <v>745</v>
      </c>
      <c r="C22" s="66">
        <f>'Match data'!E8+'Match data'!N8+VLOOKUP(P$3,Config!E$2:G$28,2)-1</f>
        <v>44887.666666666664</v>
      </c>
      <c r="D22" s="67" t="str">
        <f>'Match data'!L8</f>
        <v>Stadium 974</v>
      </c>
      <c r="E22" s="67" t="str">
        <f>'Match data'!H8</f>
        <v>Mexico</v>
      </c>
      <c r="F22" s="75"/>
      <c r="G22" s="75"/>
      <c r="H22" s="67" t="str">
        <f>'Match data'!K8</f>
        <v>Poland</v>
      </c>
      <c r="I22" s="74" t="str">
        <f>'Match data'!C8</f>
        <v>C</v>
      </c>
      <c r="J22" s="31"/>
      <c r="K22" s="220"/>
      <c r="L22" s="31"/>
      <c r="M22" s="250"/>
      <c r="N22" s="251"/>
      <c r="O22" s="251"/>
      <c r="P22" s="251"/>
      <c r="Q22" s="251"/>
      <c r="R22" s="251"/>
      <c r="S22" s="252"/>
      <c r="T22" s="112"/>
    </row>
    <row r="23" spans="1:20" s="36" customFormat="1" ht="16.5" thickBot="1" x14ac:dyDescent="0.3">
      <c r="A23" s="139"/>
      <c r="B23" s="180" t="s">
        <v>746</v>
      </c>
      <c r="C23" s="66">
        <f>'Match data'!E9+'Match data'!N9+VLOOKUP(P$3,Config!E$2:G$28,2)-1</f>
        <v>44887.541666666664</v>
      </c>
      <c r="D23" s="67" t="str">
        <f>'Match data'!L7</f>
        <v>Al Janoub Stadium</v>
      </c>
      <c r="E23" s="67" t="str">
        <f>'Match data'!H7</f>
        <v>France</v>
      </c>
      <c r="F23" s="75"/>
      <c r="G23" s="75"/>
      <c r="H23" s="67" t="str">
        <f>'Match data'!K7</f>
        <v>Australia</v>
      </c>
      <c r="I23" s="74" t="str">
        <f>'Match data'!C7</f>
        <v>D</v>
      </c>
      <c r="J23" s="31"/>
      <c r="K23" s="220"/>
      <c r="L23" s="31"/>
      <c r="M23" s="40"/>
      <c r="N23" s="40"/>
      <c r="O23" s="40"/>
      <c r="P23" s="40"/>
      <c r="Q23" s="40"/>
      <c r="R23" s="40"/>
      <c r="S23" s="40"/>
      <c r="T23" s="132"/>
    </row>
    <row r="24" spans="1:20" s="36" customFormat="1" ht="15.75" thickBot="1" x14ac:dyDescent="0.3">
      <c r="A24" s="139"/>
      <c r="B24" s="180" t="s">
        <v>747</v>
      </c>
      <c r="C24" s="66">
        <f>'Match data'!E10+'Match data'!N10+VLOOKUP(P$3,Config!E$2:G$28,2)-1</f>
        <v>44888.666666666664</v>
      </c>
      <c r="D24" s="67" t="str">
        <f>'Match data'!L14</f>
        <v>Al Bayt Stadium</v>
      </c>
      <c r="E24" s="67" t="str">
        <f>'Match data'!H14</f>
        <v>Morocco</v>
      </c>
      <c r="F24" s="75"/>
      <c r="G24" s="75"/>
      <c r="H24" s="67" t="str">
        <f>'Match data'!K14</f>
        <v>Croatia</v>
      </c>
      <c r="I24" s="74" t="str">
        <f>'Match data'!C14</f>
        <v>F</v>
      </c>
      <c r="J24" s="31"/>
      <c r="K24" s="220"/>
      <c r="L24" s="31"/>
      <c r="M24" s="94" t="str">
        <f>VLOOKUP("Group A",languages!B$62:I$69,VLOOKUP(P$4,languages!B$81:C$87,2))</f>
        <v>Group A</v>
      </c>
      <c r="N24" s="95" t="s">
        <v>217</v>
      </c>
      <c r="O24" s="95" t="str">
        <f>GrpA!E11</f>
        <v>GF</v>
      </c>
      <c r="P24" s="95" t="str">
        <f>GrpA!F11</f>
        <v>GA</v>
      </c>
      <c r="Q24" s="95" t="str">
        <f>GrpA!G11</f>
        <v>GD</v>
      </c>
      <c r="R24" s="97" t="s">
        <v>216</v>
      </c>
      <c r="S24" s="96" t="s">
        <v>252</v>
      </c>
      <c r="T24" s="132"/>
    </row>
    <row r="25" spans="1:20" x14ac:dyDescent="0.25">
      <c r="A25" s="139"/>
      <c r="B25" s="180" t="s">
        <v>748</v>
      </c>
      <c r="C25" s="66">
        <f>'Match data'!E11+'Match data'!N11+VLOOKUP(P$3,Config!E$2:G$28,2)-1</f>
        <v>44888.541666666664</v>
      </c>
      <c r="D25" s="67" t="str">
        <f>'Match data'!L11</f>
        <v>Khalifa International Stadium</v>
      </c>
      <c r="E25" s="67" t="str">
        <f>'Match data'!H11</f>
        <v>Germany</v>
      </c>
      <c r="F25" s="75"/>
      <c r="G25" s="75"/>
      <c r="H25" s="67" t="str">
        <f>'Match data'!K11</f>
        <v>Japan</v>
      </c>
      <c r="I25" s="74" t="str">
        <f>'Match data'!C11</f>
        <v>E</v>
      </c>
      <c r="J25" s="31"/>
      <c r="K25" s="220"/>
      <c r="L25" s="31"/>
      <c r="M25" s="90" t="str">
        <f>GrpA!C12</f>
        <v>Qatar</v>
      </c>
      <c r="N25" s="117">
        <f>GrpA!D12</f>
        <v>0</v>
      </c>
      <c r="O25" s="117">
        <f>GrpA!E12</f>
        <v>0</v>
      </c>
      <c r="P25" s="117">
        <f>GrpA!F12</f>
        <v>0</v>
      </c>
      <c r="Q25" s="117">
        <f>GrpA!G12</f>
        <v>0</v>
      </c>
      <c r="R25" s="80">
        <f>GrpA!H12</f>
        <v>0</v>
      </c>
      <c r="S25" s="102"/>
      <c r="T25" s="132"/>
    </row>
    <row r="26" spans="1:20" x14ac:dyDescent="0.25">
      <c r="A26" s="139"/>
      <c r="B26" s="180" t="s">
        <v>749</v>
      </c>
      <c r="C26" s="66">
        <f>'Match data'!E12+'Match data'!N12+VLOOKUP(P$3,Config!E$2:G$28,2)-1</f>
        <v>44888.791666666664</v>
      </c>
      <c r="D26" s="67" t="str">
        <f>'Match data'!L10</f>
        <v>Al Thumama Stadium</v>
      </c>
      <c r="E26" s="67" t="str">
        <f>'Match data'!H10</f>
        <v>Spain</v>
      </c>
      <c r="F26" s="75"/>
      <c r="G26" s="75"/>
      <c r="H26" s="67" t="str">
        <f>'Match data'!K10</f>
        <v>Costa Rica</v>
      </c>
      <c r="I26" s="74" t="str">
        <f>'Match data'!C10</f>
        <v>E</v>
      </c>
      <c r="J26" s="31"/>
      <c r="K26" s="220"/>
      <c r="L26" s="31"/>
      <c r="M26" s="91" t="str">
        <f>GrpA!C13</f>
        <v>Ecuador</v>
      </c>
      <c r="N26" s="65">
        <f>GrpA!D13</f>
        <v>0</v>
      </c>
      <c r="O26" s="65">
        <f>GrpA!E13</f>
        <v>0</v>
      </c>
      <c r="P26" s="65">
        <f>GrpA!F13</f>
        <v>0</v>
      </c>
      <c r="Q26" s="65">
        <f>GrpA!G13</f>
        <v>0</v>
      </c>
      <c r="R26" s="98">
        <f>GrpA!H13</f>
        <v>0</v>
      </c>
      <c r="S26" s="102"/>
      <c r="T26" s="132"/>
    </row>
    <row r="27" spans="1:20" x14ac:dyDescent="0.25">
      <c r="A27" s="139"/>
      <c r="B27" s="180" t="s">
        <v>750</v>
      </c>
      <c r="C27" s="66">
        <f>'Match data'!E13+'Match data'!N13+VLOOKUP(P$3,Config!E$2:G$28,2)-1</f>
        <v>44889.791666666664</v>
      </c>
      <c r="D27" s="67" t="str">
        <f>'Match data'!L12</f>
        <v>Ahmad Bin Ali Stadium</v>
      </c>
      <c r="E27" s="67" t="str">
        <f>'Match data'!H12</f>
        <v>Belgium</v>
      </c>
      <c r="F27" s="75"/>
      <c r="G27" s="75"/>
      <c r="H27" s="67" t="str">
        <f>'Match data'!K12</f>
        <v>Canada</v>
      </c>
      <c r="I27" s="74" t="str">
        <f>'Match data'!C12</f>
        <v>F</v>
      </c>
      <c r="J27" s="31"/>
      <c r="K27" s="220"/>
      <c r="L27" s="31"/>
      <c r="M27" s="92" t="str">
        <f>GrpA!C14</f>
        <v>Senegal</v>
      </c>
      <c r="N27" s="115">
        <f>GrpA!D14</f>
        <v>0</v>
      </c>
      <c r="O27" s="115">
        <f>GrpA!E14</f>
        <v>0</v>
      </c>
      <c r="P27" s="115">
        <f>GrpA!F14</f>
        <v>0</v>
      </c>
      <c r="Q27" s="115">
        <f>GrpA!G14</f>
        <v>0</v>
      </c>
      <c r="R27" s="99">
        <f>GrpA!H14</f>
        <v>0</v>
      </c>
      <c r="S27" s="102" t="s">
        <v>219</v>
      </c>
      <c r="T27" s="132"/>
    </row>
    <row r="28" spans="1:20" ht="15.75" thickBot="1" x14ac:dyDescent="0.3">
      <c r="A28" s="139"/>
      <c r="B28" s="180" t="s">
        <v>751</v>
      </c>
      <c r="C28" s="66">
        <f>'Match data'!E14+'Match data'!N14+VLOOKUP(P$3,Config!E$2:G$28,2)-1</f>
        <v>44888.416666666664</v>
      </c>
      <c r="D28" s="67" t="str">
        <f>'Match data'!L15</f>
        <v>Al Janoub Stadium</v>
      </c>
      <c r="E28" s="67" t="str">
        <f>'Match data'!H15</f>
        <v>Switzerland</v>
      </c>
      <c r="F28" s="75"/>
      <c r="G28" s="75"/>
      <c r="H28" s="67" t="str">
        <f>'Match data'!K15</f>
        <v>Cameroon</v>
      </c>
      <c r="I28" s="74" t="str">
        <f>'Match data'!C15</f>
        <v>G</v>
      </c>
      <c r="J28" s="31"/>
      <c r="K28" s="220"/>
      <c r="L28" s="31"/>
      <c r="M28" s="93" t="str">
        <f>GrpA!C15</f>
        <v>Netherlands</v>
      </c>
      <c r="N28" s="114">
        <f>GrpA!D15</f>
        <v>0</v>
      </c>
      <c r="O28" s="114">
        <f>GrpA!E15</f>
        <v>0</v>
      </c>
      <c r="P28" s="114">
        <f>GrpA!F15</f>
        <v>0</v>
      </c>
      <c r="Q28" s="114">
        <f>GrpA!G15</f>
        <v>0</v>
      </c>
      <c r="R28" s="100">
        <f>GrpA!H15</f>
        <v>0</v>
      </c>
      <c r="S28" s="103"/>
      <c r="T28" s="132"/>
    </row>
    <row r="29" spans="1:20" ht="17.25" thickBot="1" x14ac:dyDescent="0.3">
      <c r="A29" s="139"/>
      <c r="B29" s="180" t="s">
        <v>752</v>
      </c>
      <c r="C29" s="66">
        <f>'Match data'!E15+'Match data'!N15+VLOOKUP(P$3,Config!E$2:G$28,2)-1</f>
        <v>44889.416666666664</v>
      </c>
      <c r="D29" s="67" t="str">
        <f>'Match data'!L18</f>
        <v>Education City Stadium</v>
      </c>
      <c r="E29" s="67" t="str">
        <f>'Match data'!H18</f>
        <v>Uruguay</v>
      </c>
      <c r="F29" s="75"/>
      <c r="G29" s="75"/>
      <c r="H29" s="67" t="str">
        <f>'Match data'!K18</f>
        <v>Korea Republic</v>
      </c>
      <c r="I29" s="74" t="str">
        <f>'Match data'!C18</f>
        <v>H</v>
      </c>
      <c r="J29" s="31"/>
      <c r="K29" s="220"/>
      <c r="L29" s="31"/>
      <c r="M29" s="225" t="str">
        <f>HYPERLINK(CONCATENATE("https://twitter.com/intent/tweet?button_hashtag=WorldCup2022 ",twitter!D12),twitter!P12)</f>
        <v>Click to Tweet your Group A winner</v>
      </c>
      <c r="N29" s="226"/>
      <c r="O29" s="226"/>
      <c r="P29" s="226"/>
      <c r="Q29" s="226"/>
      <c r="R29" s="226"/>
      <c r="S29" s="226"/>
      <c r="T29" s="132"/>
    </row>
    <row r="30" spans="1:20" ht="15.75" thickBot="1" x14ac:dyDescent="0.3">
      <c r="A30" s="139"/>
      <c r="B30" s="180" t="s">
        <v>753</v>
      </c>
      <c r="C30" s="66">
        <f>'Match data'!E16+'Match data'!N16+VLOOKUP(P$3,Config!E$2:G$28,2)-1</f>
        <v>44889.666666666664</v>
      </c>
      <c r="D30" s="67" t="str">
        <f>'Match data'!L16</f>
        <v>Stadium 974</v>
      </c>
      <c r="E30" s="67" t="str">
        <f>'Match data'!H16</f>
        <v>Portugal</v>
      </c>
      <c r="F30" s="75"/>
      <c r="G30" s="75"/>
      <c r="H30" s="67" t="str">
        <f>'Match data'!K16</f>
        <v>Ghana</v>
      </c>
      <c r="I30" s="74" t="str">
        <f>'Match data'!C16</f>
        <v>H</v>
      </c>
      <c r="J30" s="31"/>
      <c r="K30" s="220"/>
      <c r="L30" s="31"/>
      <c r="M30" s="94" t="str">
        <f>VLOOKUP("Group B",languages!B$62:I$69,VLOOKUP(P$4,languages!B$81:C$87,2))</f>
        <v>Group B</v>
      </c>
      <c r="N30" s="95" t="str">
        <f>N24</f>
        <v>Pld</v>
      </c>
      <c r="O30" s="95" t="str">
        <f t="shared" ref="O30:Q30" si="0">O24</f>
        <v>GF</v>
      </c>
      <c r="P30" s="95" t="str">
        <f t="shared" si="0"/>
        <v>GA</v>
      </c>
      <c r="Q30" s="95" t="str">
        <f t="shared" si="0"/>
        <v>GD</v>
      </c>
      <c r="R30" s="97" t="str">
        <f>R24</f>
        <v>Pts</v>
      </c>
      <c r="S30" s="96" t="str">
        <f>S24</f>
        <v>Fair Play</v>
      </c>
      <c r="T30" s="132"/>
    </row>
    <row r="31" spans="1:20" x14ac:dyDescent="0.25">
      <c r="A31" s="139"/>
      <c r="B31" s="180" t="s">
        <v>754</v>
      </c>
      <c r="C31" s="66">
        <f>'Match data'!E17+'Match data'!N17+VLOOKUP(P$3,Config!E$2:G$28,2)-1</f>
        <v>44890.541666666664</v>
      </c>
      <c r="D31" s="67" t="str">
        <f>'Match data'!L13</f>
        <v>Lusail Stadium</v>
      </c>
      <c r="E31" s="67" t="str">
        <f>'Match data'!H13</f>
        <v>Brazil</v>
      </c>
      <c r="F31" s="75"/>
      <c r="G31" s="75"/>
      <c r="H31" s="67" t="str">
        <f>'Match data'!K13</f>
        <v>Serbia</v>
      </c>
      <c r="I31" s="74" t="str">
        <f>'Match data'!C13</f>
        <v>G</v>
      </c>
      <c r="J31" s="31"/>
      <c r="K31" s="220"/>
      <c r="L31" s="31"/>
      <c r="M31" s="90" t="str">
        <f>GrpB!C12</f>
        <v>England</v>
      </c>
      <c r="N31" s="117">
        <f>GrpB!D12</f>
        <v>0</v>
      </c>
      <c r="O31" s="117">
        <f>GrpB!E12</f>
        <v>0</v>
      </c>
      <c r="P31" s="117">
        <f>GrpB!F12</f>
        <v>0</v>
      </c>
      <c r="Q31" s="117">
        <f>GrpB!G12</f>
        <v>0</v>
      </c>
      <c r="R31" s="80">
        <f>GrpB!H12</f>
        <v>0</v>
      </c>
      <c r="S31" s="102"/>
      <c r="T31" s="132"/>
    </row>
    <row r="32" spans="1:20" x14ac:dyDescent="0.25">
      <c r="A32" s="139"/>
      <c r="B32" s="180" t="s">
        <v>755</v>
      </c>
      <c r="C32" s="66">
        <f>'Match data'!E18+'Match data'!N18+VLOOKUP(P$3,Config!E$2:G$28,2)-1</f>
        <v>44889.541666666664</v>
      </c>
      <c r="D32" s="67" t="str">
        <f>'Match data'!L19</f>
        <v>Ahmad Bin Ali Stadium</v>
      </c>
      <c r="E32" s="67" t="str">
        <f>'Match data'!H19</f>
        <v>Wales</v>
      </c>
      <c r="F32" s="75"/>
      <c r="G32" s="75"/>
      <c r="H32" s="67" t="str">
        <f>'Match data'!K19</f>
        <v>Iran</v>
      </c>
      <c r="I32" s="74" t="str">
        <f>'Match data'!C19</f>
        <v>B</v>
      </c>
      <c r="J32" s="31"/>
      <c r="K32" s="220"/>
      <c r="L32" s="31"/>
      <c r="M32" s="91" t="str">
        <f>GrpB!C13</f>
        <v>Iran</v>
      </c>
      <c r="N32" s="65">
        <f>GrpB!D13</f>
        <v>0</v>
      </c>
      <c r="O32" s="65">
        <f>GrpB!E13</f>
        <v>0</v>
      </c>
      <c r="P32" s="65">
        <f>GrpB!F13</f>
        <v>0</v>
      </c>
      <c r="Q32" s="65">
        <f>GrpB!G13</f>
        <v>0</v>
      </c>
      <c r="R32" s="98">
        <f>GrpB!H13</f>
        <v>0</v>
      </c>
      <c r="S32" s="102"/>
      <c r="T32" s="132"/>
    </row>
    <row r="33" spans="1:20" x14ac:dyDescent="0.25">
      <c r="A33" s="139"/>
      <c r="B33" s="180" t="s">
        <v>756</v>
      </c>
      <c r="C33" s="66">
        <f>'Match data'!E19+'Match data'!N19+VLOOKUP(P$3,Config!E$2:G$28,2)-1</f>
        <v>44890.416666666664</v>
      </c>
      <c r="D33" s="67" t="str">
        <f>'Match data'!L17</f>
        <v>Al Thumama Stadium</v>
      </c>
      <c r="E33" s="67" t="str">
        <f>'Match data'!H17</f>
        <v>Qatar</v>
      </c>
      <c r="F33" s="75"/>
      <c r="G33" s="75"/>
      <c r="H33" s="67" t="str">
        <f>'Match data'!K17</f>
        <v>Senegal</v>
      </c>
      <c r="I33" s="74" t="str">
        <f>'Match data'!C17</f>
        <v>A</v>
      </c>
      <c r="J33" s="31"/>
      <c r="K33" s="220"/>
      <c r="L33" s="31"/>
      <c r="M33" s="92" t="str">
        <f>GrpB!C14</f>
        <v>USA</v>
      </c>
      <c r="N33" s="115">
        <f>GrpB!D14</f>
        <v>0</v>
      </c>
      <c r="O33" s="115">
        <f>GrpB!E14</f>
        <v>0</v>
      </c>
      <c r="P33" s="115">
        <f>GrpB!F14</f>
        <v>0</v>
      </c>
      <c r="Q33" s="115">
        <f>GrpB!G14</f>
        <v>0</v>
      </c>
      <c r="R33" s="99">
        <f>GrpB!H14</f>
        <v>0</v>
      </c>
      <c r="S33" s="102"/>
      <c r="T33" s="132"/>
    </row>
    <row r="34" spans="1:20" ht="15.75" thickBot="1" x14ac:dyDescent="0.3">
      <c r="A34" s="139"/>
      <c r="B34" s="180" t="s">
        <v>757</v>
      </c>
      <c r="C34" s="66">
        <f>'Match data'!E20+'Match data'!N20+VLOOKUP(P$3,Config!E$2:G$28,2)-1</f>
        <v>44890.666666666664</v>
      </c>
      <c r="D34" s="67" t="str">
        <f>'Match data'!L20</f>
        <v>Khalifa International Stadium</v>
      </c>
      <c r="E34" s="67" t="str">
        <f>'Match data'!H20</f>
        <v>Netherlands</v>
      </c>
      <c r="F34" s="75"/>
      <c r="G34" s="75"/>
      <c r="H34" s="67" t="str">
        <f>'Match data'!K20</f>
        <v>Ecuador</v>
      </c>
      <c r="I34" s="74" t="str">
        <f>'Match data'!C20</f>
        <v>A</v>
      </c>
      <c r="J34" s="31"/>
      <c r="K34" s="220"/>
      <c r="L34" s="31"/>
      <c r="M34" s="93" t="str">
        <f>GrpB!C15</f>
        <v>Wales</v>
      </c>
      <c r="N34" s="114">
        <f>GrpB!D15</f>
        <v>0</v>
      </c>
      <c r="O34" s="114">
        <f>GrpB!E15</f>
        <v>0</v>
      </c>
      <c r="P34" s="114">
        <f>GrpB!F15</f>
        <v>0</v>
      </c>
      <c r="Q34" s="114">
        <f>GrpB!G15</f>
        <v>0</v>
      </c>
      <c r="R34" s="100">
        <f>GrpB!H15</f>
        <v>0</v>
      </c>
      <c r="S34" s="103"/>
      <c r="T34" s="132"/>
    </row>
    <row r="35" spans="1:20" ht="17.25" thickBot="1" x14ac:dyDescent="0.3">
      <c r="A35" s="139"/>
      <c r="B35" s="180" t="s">
        <v>758</v>
      </c>
      <c r="C35" s="66">
        <f>'Match data'!E21+'Match data'!N21+VLOOKUP(P$3,Config!E$2:G$28,2)-1</f>
        <v>44890.791666666664</v>
      </c>
      <c r="D35" s="67" t="str">
        <f>'Match data'!L21</f>
        <v>Al Bayt Stadium</v>
      </c>
      <c r="E35" s="67" t="str">
        <f>'Match data'!H21</f>
        <v>England</v>
      </c>
      <c r="F35" s="75"/>
      <c r="G35" s="75"/>
      <c r="H35" s="67" t="str">
        <f>'Match data'!K21</f>
        <v>USA</v>
      </c>
      <c r="I35" s="74" t="str">
        <f>'Match data'!C21</f>
        <v>B</v>
      </c>
      <c r="J35" s="31"/>
      <c r="K35" s="220"/>
      <c r="L35" s="31"/>
      <c r="M35" s="227" t="str">
        <f>HYPERLINK(CONCATENATE("https://twitter.com/intent/tweet?button_hashtag=WorldCup2022 ",twitter!D13),twitter!P13)</f>
        <v>Click to Tweet your Group B winner</v>
      </c>
      <c r="N35" s="228"/>
      <c r="O35" s="228"/>
      <c r="P35" s="228"/>
      <c r="Q35" s="228"/>
      <c r="R35" s="228"/>
      <c r="S35" s="228"/>
      <c r="T35" s="132"/>
    </row>
    <row r="36" spans="1:20" ht="15.75" thickBot="1" x14ac:dyDescent="0.3">
      <c r="A36" s="139"/>
      <c r="B36" s="180" t="s">
        <v>759</v>
      </c>
      <c r="C36" s="66">
        <f>'Match data'!E22+'Match data'!N22+VLOOKUP(P$3,Config!E$2:G$28,2)-1</f>
        <v>44891.791666666664</v>
      </c>
      <c r="D36" s="67" t="str">
        <f>'Match data'!L25</f>
        <v>Al Janoub Stadium</v>
      </c>
      <c r="E36" s="67" t="str">
        <f>'Match data'!H25</f>
        <v>Tunisia</v>
      </c>
      <c r="F36" s="75"/>
      <c r="G36" s="75"/>
      <c r="H36" s="67" t="str">
        <f>'Match data'!K25</f>
        <v>Australia</v>
      </c>
      <c r="I36" s="74" t="str">
        <f>'Match data'!C25</f>
        <v>D</v>
      </c>
      <c r="J36" s="31"/>
      <c r="K36" s="220"/>
      <c r="L36" s="31"/>
      <c r="M36" s="94" t="str">
        <f>VLOOKUP("Group C",languages!B$62:I$69,VLOOKUP(P$4,languages!B$81:C$87,2))</f>
        <v>Group C</v>
      </c>
      <c r="N36" s="95" t="str">
        <f>N30</f>
        <v>Pld</v>
      </c>
      <c r="O36" s="95" t="str">
        <f t="shared" ref="O36:Q36" si="1">O30</f>
        <v>GF</v>
      </c>
      <c r="P36" s="95" t="str">
        <f t="shared" si="1"/>
        <v>GA</v>
      </c>
      <c r="Q36" s="95" t="str">
        <f t="shared" si="1"/>
        <v>GD</v>
      </c>
      <c r="R36" s="97" t="str">
        <f>R30</f>
        <v>Pts</v>
      </c>
      <c r="S36" s="96" t="str">
        <f>S30</f>
        <v>Fair Play</v>
      </c>
      <c r="T36" s="132"/>
    </row>
    <row r="37" spans="1:20" x14ac:dyDescent="0.25">
      <c r="A37" s="139"/>
      <c r="B37" s="180" t="s">
        <v>760</v>
      </c>
      <c r="C37" s="66">
        <f>'Match data'!E23+'Match data'!N23+VLOOKUP(P$3,Config!E$2:G$28,2)-1</f>
        <v>44891.666666666664</v>
      </c>
      <c r="D37" s="67" t="str">
        <f>'Match data'!L24</f>
        <v>Education City Stadium</v>
      </c>
      <c r="E37" s="67" t="str">
        <f>'Match data'!H24</f>
        <v>Poland</v>
      </c>
      <c r="F37" s="75"/>
      <c r="G37" s="75"/>
      <c r="H37" s="67" t="str">
        <f>'Match data'!K24</f>
        <v>Saudi Arabia</v>
      </c>
      <c r="I37" s="74" t="str">
        <f>'Match data'!C24</f>
        <v>C</v>
      </c>
      <c r="J37" s="31"/>
      <c r="K37" s="220"/>
      <c r="L37" s="31"/>
      <c r="M37" s="90" t="str">
        <f>GrpC!C12</f>
        <v>Argentina</v>
      </c>
      <c r="N37" s="117">
        <f>GrpC!D12</f>
        <v>0</v>
      </c>
      <c r="O37" s="117">
        <f>GrpC!E12</f>
        <v>0</v>
      </c>
      <c r="P37" s="117">
        <f>GrpC!F12</f>
        <v>0</v>
      </c>
      <c r="Q37" s="117">
        <f>GrpC!G12</f>
        <v>0</v>
      </c>
      <c r="R37" s="80">
        <f>GrpC!H12</f>
        <v>0</v>
      </c>
      <c r="S37" s="102"/>
      <c r="T37" s="132"/>
    </row>
    <row r="38" spans="1:20" x14ac:dyDescent="0.25">
      <c r="A38" s="139"/>
      <c r="B38" s="180" t="s">
        <v>761</v>
      </c>
      <c r="C38" s="66">
        <f>'Match data'!E24+'Match data'!N24+VLOOKUP(P$3,Config!E$2:G$28,2)-1</f>
        <v>44891.541666666664</v>
      </c>
      <c r="D38" s="67" t="str">
        <f>'Match data'!L23</f>
        <v>Stadium 974</v>
      </c>
      <c r="E38" s="67" t="str">
        <f>'Match data'!H23</f>
        <v>France</v>
      </c>
      <c r="F38" s="75"/>
      <c r="G38" s="75"/>
      <c r="H38" s="67" t="str">
        <f>'Match data'!K23</f>
        <v>Denmark</v>
      </c>
      <c r="I38" s="74" t="str">
        <f>'Match data'!C23</f>
        <v>D</v>
      </c>
      <c r="J38" s="31"/>
      <c r="K38" s="220"/>
      <c r="L38" s="31"/>
      <c r="M38" s="91" t="str">
        <f>GrpC!C13</f>
        <v>Saudi Arabia</v>
      </c>
      <c r="N38" s="65">
        <f>GrpC!D13</f>
        <v>0</v>
      </c>
      <c r="O38" s="65">
        <f>GrpC!E13</f>
        <v>0</v>
      </c>
      <c r="P38" s="65">
        <f>GrpC!F13</f>
        <v>0</v>
      </c>
      <c r="Q38" s="65">
        <f>GrpC!G13</f>
        <v>0</v>
      </c>
      <c r="R38" s="98">
        <f>GrpC!H13</f>
        <v>0</v>
      </c>
      <c r="S38" s="102"/>
      <c r="T38" s="132"/>
    </row>
    <row r="39" spans="1:20" x14ac:dyDescent="0.25">
      <c r="A39" s="139"/>
      <c r="B39" s="180" t="s">
        <v>762</v>
      </c>
      <c r="C39" s="66">
        <f>'Match data'!E25+'Match data'!N25+VLOOKUP(P$3,Config!E$2:G$28,2)-1</f>
        <v>44891.416666666664</v>
      </c>
      <c r="D39" s="67" t="str">
        <f>'Match data'!L22</f>
        <v>Lusail Stadium</v>
      </c>
      <c r="E39" s="67" t="str">
        <f>'Match data'!H22</f>
        <v>Argentina</v>
      </c>
      <c r="F39" s="75"/>
      <c r="G39" s="75"/>
      <c r="H39" s="67" t="str">
        <f>'Match data'!K22</f>
        <v>Mexico</v>
      </c>
      <c r="I39" s="74" t="str">
        <f>'Match data'!C22</f>
        <v>C</v>
      </c>
      <c r="J39" s="31"/>
      <c r="K39" s="220"/>
      <c r="L39" s="31"/>
      <c r="M39" s="92" t="str">
        <f>GrpC!C14</f>
        <v>Mexico</v>
      </c>
      <c r="N39" s="115">
        <f>GrpC!D14</f>
        <v>0</v>
      </c>
      <c r="O39" s="115">
        <f>GrpC!E14</f>
        <v>0</v>
      </c>
      <c r="P39" s="115">
        <f>GrpC!F14</f>
        <v>0</v>
      </c>
      <c r="Q39" s="115">
        <f>GrpC!G14</f>
        <v>0</v>
      </c>
      <c r="R39" s="99">
        <f>GrpC!H14</f>
        <v>0</v>
      </c>
      <c r="S39" s="102"/>
      <c r="T39" s="132"/>
    </row>
    <row r="40" spans="1:20" ht="15.75" thickBot="1" x14ac:dyDescent="0.3">
      <c r="A40" s="139"/>
      <c r="B40" s="180" t="s">
        <v>763</v>
      </c>
      <c r="C40" s="66">
        <f>'Match data'!E26+'Match data'!N26+VLOOKUP(P$3,Config!E$2:G$28,2)-1</f>
        <v>44892.791666666664</v>
      </c>
      <c r="D40" s="67" t="str">
        <f>'Match data'!L27</f>
        <v>Ahmad Bin Ali Stadium</v>
      </c>
      <c r="E40" s="67" t="str">
        <f>'Match data'!H27</f>
        <v>Japan</v>
      </c>
      <c r="F40" s="75"/>
      <c r="G40" s="75"/>
      <c r="H40" s="67" t="str">
        <f>'Match data'!K27</f>
        <v>Costa Rica</v>
      </c>
      <c r="I40" s="74" t="str">
        <f>'Match data'!C27</f>
        <v>E</v>
      </c>
      <c r="J40" s="31"/>
      <c r="K40" s="220"/>
      <c r="L40" s="31"/>
      <c r="M40" s="93" t="str">
        <f>GrpC!C15</f>
        <v>Poland</v>
      </c>
      <c r="N40" s="114">
        <f>GrpC!D15</f>
        <v>0</v>
      </c>
      <c r="O40" s="114">
        <f>GrpC!E15</f>
        <v>0</v>
      </c>
      <c r="P40" s="114">
        <f>GrpC!F15</f>
        <v>0</v>
      </c>
      <c r="Q40" s="114">
        <f>GrpC!G15</f>
        <v>0</v>
      </c>
      <c r="R40" s="100">
        <f>GrpC!H15</f>
        <v>0</v>
      </c>
      <c r="S40" s="103"/>
      <c r="T40" s="132"/>
    </row>
    <row r="41" spans="1:20" ht="17.25" thickBot="1" x14ac:dyDescent="0.3">
      <c r="A41" s="139"/>
      <c r="B41" s="180" t="s">
        <v>764</v>
      </c>
      <c r="C41" s="66">
        <f>'Match data'!E27+'Match data'!N27+VLOOKUP(P$3,Config!E$2:G$28,2)-1</f>
        <v>44892.416666666664</v>
      </c>
      <c r="D41" s="67" t="str">
        <f>'Match data'!L28</f>
        <v>Al Thumama Stadium</v>
      </c>
      <c r="E41" s="67" t="str">
        <f>'Match data'!H28</f>
        <v>Belgium</v>
      </c>
      <c r="F41" s="75"/>
      <c r="G41" s="75"/>
      <c r="H41" s="67" t="str">
        <f>'Match data'!K28</f>
        <v>Morocco</v>
      </c>
      <c r="I41" s="74" t="str">
        <f>'Match data'!C28</f>
        <v>F</v>
      </c>
      <c r="J41" s="31"/>
      <c r="K41" s="220"/>
      <c r="L41" s="31"/>
      <c r="M41" s="227" t="str">
        <f>HYPERLINK(CONCATENATE("https://twitter.com/intent/tweet?button_hashtag=WorldCup2022 ",twitter!D14),twitter!P14)</f>
        <v>Click to Tweet your Group C winner</v>
      </c>
      <c r="N41" s="228"/>
      <c r="O41" s="228"/>
      <c r="P41" s="228"/>
      <c r="Q41" s="228"/>
      <c r="R41" s="228"/>
      <c r="S41" s="228"/>
      <c r="T41" s="132"/>
    </row>
    <row r="42" spans="1:20" ht="15.75" thickBot="1" x14ac:dyDescent="0.3">
      <c r="A42" s="139"/>
      <c r="B42" s="180" t="s">
        <v>765</v>
      </c>
      <c r="C42" s="66">
        <f>'Match data'!E28+'Match data'!N28+VLOOKUP(P$3,Config!E$2:G$28,2)-1</f>
        <v>44892.541666666664</v>
      </c>
      <c r="D42" s="67" t="str">
        <f>'Match data'!L30</f>
        <v>Khalifa International Stadium</v>
      </c>
      <c r="E42" s="67" t="str">
        <f>'Match data'!H30</f>
        <v>Croatia</v>
      </c>
      <c r="F42" s="75"/>
      <c r="G42" s="75"/>
      <c r="H42" s="67" t="str">
        <f>'Match data'!K30</f>
        <v>Canada</v>
      </c>
      <c r="I42" s="74" t="str">
        <f>'Match data'!C30</f>
        <v>F</v>
      </c>
      <c r="J42" s="31"/>
      <c r="K42" s="220"/>
      <c r="L42" s="31"/>
      <c r="M42" s="94" t="str">
        <f>VLOOKUP("Group D",languages!B$62:I$69,VLOOKUP(P$4,languages!B$81:C$87,2))</f>
        <v>Group D</v>
      </c>
      <c r="N42" s="95" t="str">
        <f>N36</f>
        <v>Pld</v>
      </c>
      <c r="O42" s="95" t="str">
        <f t="shared" ref="O42:Q42" si="2">O36</f>
        <v>GF</v>
      </c>
      <c r="P42" s="95" t="str">
        <f t="shared" si="2"/>
        <v>GA</v>
      </c>
      <c r="Q42" s="95" t="str">
        <f t="shared" si="2"/>
        <v>GD</v>
      </c>
      <c r="R42" s="97" t="str">
        <f>R36</f>
        <v>Pts</v>
      </c>
      <c r="S42" s="96" t="str">
        <f>S36</f>
        <v>Fair Play</v>
      </c>
      <c r="T42" s="132"/>
    </row>
    <row r="43" spans="1:20" x14ac:dyDescent="0.25">
      <c r="A43" s="139"/>
      <c r="B43" s="180" t="s">
        <v>766</v>
      </c>
      <c r="C43" s="66">
        <f>'Match data'!E29+'Match data'!N29+VLOOKUP(P$3,Config!E$2:G$28,2)-1</f>
        <v>44893.666666666664</v>
      </c>
      <c r="D43" s="67" t="str">
        <f>'Match data'!L26</f>
        <v>Al Bayt Stadium</v>
      </c>
      <c r="E43" s="67" t="str">
        <f>'Match data'!H26</f>
        <v>Spain</v>
      </c>
      <c r="F43" s="75"/>
      <c r="G43" s="75"/>
      <c r="H43" s="67" t="str">
        <f>'Match data'!K26</f>
        <v>Germany</v>
      </c>
      <c r="I43" s="74" t="str">
        <f>'Match data'!C26</f>
        <v>E</v>
      </c>
      <c r="J43" s="31"/>
      <c r="K43" s="220"/>
      <c r="L43" s="31"/>
      <c r="M43" s="90" t="str">
        <f>GrpD!C12</f>
        <v>France</v>
      </c>
      <c r="N43" s="117">
        <f>GrpD!D12</f>
        <v>0</v>
      </c>
      <c r="O43" s="117">
        <f>GrpD!E12</f>
        <v>0</v>
      </c>
      <c r="P43" s="117">
        <f>GrpD!F12</f>
        <v>0</v>
      </c>
      <c r="Q43" s="117">
        <f>GrpD!G12</f>
        <v>0</v>
      </c>
      <c r="R43" s="80">
        <f>GrpD!H12</f>
        <v>0</v>
      </c>
      <c r="S43" s="102"/>
      <c r="T43" s="132"/>
    </row>
    <row r="44" spans="1:20" x14ac:dyDescent="0.25">
      <c r="A44" s="139"/>
      <c r="B44" s="180" t="s">
        <v>767</v>
      </c>
      <c r="C44" s="66">
        <f>'Match data'!E30+'Match data'!N30+VLOOKUP(P$3,Config!E$2:G$28,2)-1</f>
        <v>44892.666666666664</v>
      </c>
      <c r="D44" s="67" t="str">
        <f>'Match data'!L32</f>
        <v>Al Janoub Stadium</v>
      </c>
      <c r="E44" s="67" t="str">
        <f>'Match data'!H32</f>
        <v>Cameroon</v>
      </c>
      <c r="F44" s="75"/>
      <c r="G44" s="75"/>
      <c r="H44" s="67" t="str">
        <f>'Match data'!K32</f>
        <v>Serbia</v>
      </c>
      <c r="I44" s="74" t="str">
        <f>'Match data'!C32</f>
        <v>G</v>
      </c>
      <c r="J44" s="31"/>
      <c r="K44" s="220"/>
      <c r="L44" s="31"/>
      <c r="M44" s="91" t="str">
        <f>GrpD!C13</f>
        <v>Australia</v>
      </c>
      <c r="N44" s="65">
        <f>GrpD!D13</f>
        <v>0</v>
      </c>
      <c r="O44" s="65">
        <f>GrpD!E13</f>
        <v>0</v>
      </c>
      <c r="P44" s="65">
        <f>GrpD!F13</f>
        <v>0</v>
      </c>
      <c r="Q44" s="65">
        <f>GrpD!G13</f>
        <v>0</v>
      </c>
      <c r="R44" s="98">
        <f>GrpD!H13</f>
        <v>0</v>
      </c>
      <c r="S44" s="102"/>
      <c r="T44" s="132"/>
    </row>
    <row r="45" spans="1:20" x14ac:dyDescent="0.25">
      <c r="A45" s="139"/>
      <c r="B45" s="180" t="s">
        <v>768</v>
      </c>
      <c r="C45" s="66">
        <f>'Match data'!E31+'Match data'!N31+VLOOKUP(P$3,Config!E$2:G$28,2)-1</f>
        <v>44893.541666666664</v>
      </c>
      <c r="D45" s="67" t="str">
        <f>'Match data'!L31</f>
        <v>Education City Stadium</v>
      </c>
      <c r="E45" s="67" t="str">
        <f>'Match data'!H31</f>
        <v>Korea Republic</v>
      </c>
      <c r="F45" s="75"/>
      <c r="G45" s="75"/>
      <c r="H45" s="67" t="str">
        <f>'Match data'!K31</f>
        <v>Ghana</v>
      </c>
      <c r="I45" s="74" t="str">
        <f>'Match data'!C31</f>
        <v>H</v>
      </c>
      <c r="J45" s="31"/>
      <c r="K45" s="220"/>
      <c r="L45" s="31"/>
      <c r="M45" s="92" t="str">
        <f>GrpD!C14</f>
        <v>Denmark</v>
      </c>
      <c r="N45" s="115">
        <f>GrpD!D14</f>
        <v>0</v>
      </c>
      <c r="O45" s="115">
        <f>GrpD!E14</f>
        <v>0</v>
      </c>
      <c r="P45" s="115">
        <f>GrpD!F14</f>
        <v>0</v>
      </c>
      <c r="Q45" s="115">
        <f>GrpD!G14</f>
        <v>0</v>
      </c>
      <c r="R45" s="99">
        <f>GrpD!H14</f>
        <v>0</v>
      </c>
      <c r="S45" s="102"/>
      <c r="T45" s="132"/>
    </row>
    <row r="46" spans="1:20" ht="15.75" thickBot="1" x14ac:dyDescent="0.3">
      <c r="A46" s="139"/>
      <c r="B46" s="180" t="s">
        <v>769</v>
      </c>
      <c r="C46" s="66">
        <f>'Match data'!E32+'Match data'!N32+VLOOKUP(P$3,Config!E$2:G$28,2)-1</f>
        <v>44893.416666666664</v>
      </c>
      <c r="D46" s="67" t="str">
        <f>'Match data'!L29</f>
        <v>Stadium 974</v>
      </c>
      <c r="E46" s="67" t="str">
        <f>'Match data'!H29</f>
        <v>Brazil</v>
      </c>
      <c r="F46" s="75"/>
      <c r="G46" s="75"/>
      <c r="H46" s="67" t="str">
        <f>'Match data'!K29</f>
        <v>Switzerland</v>
      </c>
      <c r="I46" s="74" t="str">
        <f>'Match data'!C29</f>
        <v>G</v>
      </c>
      <c r="J46" s="31"/>
      <c r="K46" s="220"/>
      <c r="L46" s="31"/>
      <c r="M46" s="93" t="str">
        <f>GrpD!C15</f>
        <v>Tunisia</v>
      </c>
      <c r="N46" s="114">
        <f>GrpD!D15</f>
        <v>0</v>
      </c>
      <c r="O46" s="114">
        <f>GrpD!E15</f>
        <v>0</v>
      </c>
      <c r="P46" s="114">
        <f>GrpD!F15</f>
        <v>0</v>
      </c>
      <c r="Q46" s="114">
        <f>GrpD!G15</f>
        <v>0</v>
      </c>
      <c r="R46" s="100">
        <f>GrpD!H15</f>
        <v>0</v>
      </c>
      <c r="S46" s="103"/>
      <c r="T46" s="132"/>
    </row>
    <row r="47" spans="1:20" ht="17.25" thickBot="1" x14ac:dyDescent="0.3">
      <c r="A47" s="139"/>
      <c r="B47" s="180" t="s">
        <v>770</v>
      </c>
      <c r="C47" s="66">
        <f>'Match data'!E33+'Match data'!N33+VLOOKUP(P$3,Config!E$2:G$28,2)-1</f>
        <v>44893.791666666664</v>
      </c>
      <c r="D47" s="67" t="str">
        <f>'Match data'!L33</f>
        <v>Lusail Stadium</v>
      </c>
      <c r="E47" s="67" t="str">
        <f>'Match data'!H33</f>
        <v>Portugal</v>
      </c>
      <c r="F47" s="75"/>
      <c r="G47" s="75"/>
      <c r="H47" s="67" t="str">
        <f>'Match data'!K33</f>
        <v>Uruguay</v>
      </c>
      <c r="I47" s="74" t="str">
        <f>'Match data'!C33</f>
        <v>H</v>
      </c>
      <c r="J47" s="31"/>
      <c r="K47" s="220"/>
      <c r="L47" s="31"/>
      <c r="M47" s="227" t="str">
        <f>HYPERLINK(CONCATENATE("https://twitter.com/intent/tweet?button_hashtag=WorldCup2022 ",twitter!D15),twitter!P15)</f>
        <v>Click to Tweet your Group D winner</v>
      </c>
      <c r="N47" s="228"/>
      <c r="O47" s="228"/>
      <c r="P47" s="228"/>
      <c r="Q47" s="228"/>
      <c r="R47" s="228"/>
      <c r="S47" s="228"/>
      <c r="T47" s="132"/>
    </row>
    <row r="48" spans="1:20" ht="15.75" thickBot="1" x14ac:dyDescent="0.3">
      <c r="A48" s="139"/>
      <c r="B48" s="180" t="s">
        <v>771</v>
      </c>
      <c r="C48" s="66">
        <f>'Match data'!E34+'Match data'!N34+VLOOKUP(P$3,Config!E$2:G$28,2)-1</f>
        <v>44894.791666666664</v>
      </c>
      <c r="D48" s="67" t="str">
        <f>'Match data'!L36</f>
        <v>Al Bayt Stadium</v>
      </c>
      <c r="E48" s="67" t="str">
        <f>'Match data'!H36</f>
        <v>Netherlands</v>
      </c>
      <c r="F48" s="75"/>
      <c r="G48" s="75"/>
      <c r="H48" s="67" t="str">
        <f>'Match data'!K36</f>
        <v>Qatar</v>
      </c>
      <c r="I48" s="74" t="str">
        <f>'Match data'!C36</f>
        <v>A</v>
      </c>
      <c r="J48" s="31"/>
      <c r="K48" s="220"/>
      <c r="L48" s="31"/>
      <c r="M48" s="94" t="str">
        <f>VLOOKUP("Group E",languages!B$62:I$69,VLOOKUP(P$4,languages!B$81:C$87,2))</f>
        <v>Group E</v>
      </c>
      <c r="N48" s="95" t="str">
        <f>N42</f>
        <v>Pld</v>
      </c>
      <c r="O48" s="95" t="str">
        <f t="shared" ref="O48:Q48" si="3">O42</f>
        <v>GF</v>
      </c>
      <c r="P48" s="95" t="str">
        <f t="shared" si="3"/>
        <v>GA</v>
      </c>
      <c r="Q48" s="95" t="str">
        <f t="shared" si="3"/>
        <v>GD</v>
      </c>
      <c r="R48" s="97" t="str">
        <f>R42</f>
        <v>Pts</v>
      </c>
      <c r="S48" s="96" t="str">
        <f>S42</f>
        <v>Fair Play</v>
      </c>
      <c r="T48" s="132"/>
    </row>
    <row r="49" spans="1:20" x14ac:dyDescent="0.25">
      <c r="A49" s="139"/>
      <c r="B49" s="180" t="s">
        <v>772</v>
      </c>
      <c r="C49" s="66">
        <f>'Match data'!E35+'Match data'!N35+VLOOKUP(P$3,Config!E$2:G$28,2)-1</f>
        <v>44894.791666666664</v>
      </c>
      <c r="D49" s="67" t="str">
        <f>'Match data'!L37</f>
        <v>Khalifa International Stadium</v>
      </c>
      <c r="E49" s="67" t="str">
        <f>'Match data'!H37</f>
        <v>Ecuador</v>
      </c>
      <c r="F49" s="75"/>
      <c r="G49" s="75"/>
      <c r="H49" s="67" t="str">
        <f>'Match data'!K37</f>
        <v>Senegal</v>
      </c>
      <c r="I49" s="74" t="str">
        <f>'Match data'!C37</f>
        <v>A</v>
      </c>
      <c r="J49" s="31"/>
      <c r="K49" s="220"/>
      <c r="L49" s="31"/>
      <c r="M49" s="90" t="str">
        <f>GrpE!C12</f>
        <v>Spain</v>
      </c>
      <c r="N49" s="117">
        <f>GrpE!D12</f>
        <v>0</v>
      </c>
      <c r="O49" s="117">
        <f>GrpE!E12</f>
        <v>0</v>
      </c>
      <c r="P49" s="117">
        <f>GrpE!F12</f>
        <v>0</v>
      </c>
      <c r="Q49" s="117">
        <f>GrpE!G12</f>
        <v>0</v>
      </c>
      <c r="R49" s="80">
        <f>GrpE!H12</f>
        <v>0</v>
      </c>
      <c r="S49" s="102"/>
      <c r="T49" s="132"/>
    </row>
    <row r="50" spans="1:20" x14ac:dyDescent="0.25">
      <c r="A50" s="139"/>
      <c r="B50" s="180" t="s">
        <v>773</v>
      </c>
      <c r="C50" s="66">
        <f>'Match data'!E36+'Match data'!N36+VLOOKUP(P$3,Config!E$2:G$28,2)-1</f>
        <v>44894.625</v>
      </c>
      <c r="D50" s="67" t="str">
        <f>'Match data'!L34</f>
        <v>Ahmad Bin Ali Stadium</v>
      </c>
      <c r="E50" s="67" t="str">
        <f>'Match data'!H34</f>
        <v>Wales</v>
      </c>
      <c r="F50" s="75"/>
      <c r="G50" s="75"/>
      <c r="H50" s="67" t="str">
        <f>'Match data'!K34</f>
        <v>England</v>
      </c>
      <c r="I50" s="74" t="str">
        <f>'Match data'!C34</f>
        <v>B</v>
      </c>
      <c r="J50" s="31"/>
      <c r="K50" s="220"/>
      <c r="L50" s="31"/>
      <c r="M50" s="91" t="str">
        <f>GrpE!C13</f>
        <v>Costa Rica</v>
      </c>
      <c r="N50" s="65">
        <f>GrpE!D13</f>
        <v>0</v>
      </c>
      <c r="O50" s="65">
        <f>GrpE!E13</f>
        <v>0</v>
      </c>
      <c r="P50" s="65">
        <f>GrpE!F13</f>
        <v>0</v>
      </c>
      <c r="Q50" s="65">
        <f>GrpE!G13</f>
        <v>0</v>
      </c>
      <c r="R50" s="98">
        <f>GrpE!H13</f>
        <v>0</v>
      </c>
      <c r="S50" s="102"/>
      <c r="T50" s="132"/>
    </row>
    <row r="51" spans="1:20" x14ac:dyDescent="0.25">
      <c r="A51" s="139"/>
      <c r="B51" s="180" t="s">
        <v>774</v>
      </c>
      <c r="C51" s="66">
        <f>'Match data'!E37+'Match data'!N37+VLOOKUP(P$3,Config!E$2:G$28,2)-1</f>
        <v>44894.625</v>
      </c>
      <c r="D51" s="67" t="str">
        <f>'Match data'!L35</f>
        <v>Al Thumama Stadium</v>
      </c>
      <c r="E51" s="67" t="str">
        <f>'Match data'!H35</f>
        <v>Iran</v>
      </c>
      <c r="F51" s="75"/>
      <c r="G51" s="75"/>
      <c r="H51" s="67" t="str">
        <f>'Match data'!K35</f>
        <v>USA</v>
      </c>
      <c r="I51" s="74" t="str">
        <f>'Match data'!C35</f>
        <v>B</v>
      </c>
      <c r="J51" s="31"/>
      <c r="K51" s="220"/>
      <c r="L51" s="31"/>
      <c r="M51" s="92" t="str">
        <f>GrpE!C14</f>
        <v>Germany</v>
      </c>
      <c r="N51" s="115">
        <f>GrpE!D14</f>
        <v>0</v>
      </c>
      <c r="O51" s="115">
        <f>GrpE!E14</f>
        <v>0</v>
      </c>
      <c r="P51" s="115">
        <f>GrpE!F14</f>
        <v>0</v>
      </c>
      <c r="Q51" s="115">
        <f>GrpE!G14</f>
        <v>0</v>
      </c>
      <c r="R51" s="99">
        <f>GrpE!H14</f>
        <v>0</v>
      </c>
      <c r="S51" s="102"/>
      <c r="T51" s="132"/>
    </row>
    <row r="52" spans="1:20" ht="15.75" thickBot="1" x14ac:dyDescent="0.3">
      <c r="A52" s="139"/>
      <c r="B52" s="180" t="s">
        <v>775</v>
      </c>
      <c r="C52" s="66">
        <f>'Match data'!E38+'Match data'!N38+VLOOKUP(P$3,Config!E$2:G$28,2)-1</f>
        <v>44895.625</v>
      </c>
      <c r="D52" s="67" t="str">
        <f>'Match data'!L38</f>
        <v>Education City Stadium</v>
      </c>
      <c r="E52" s="67" t="str">
        <f>'Match data'!H38</f>
        <v>Tunisia</v>
      </c>
      <c r="F52" s="75"/>
      <c r="G52" s="75"/>
      <c r="H52" s="67" t="str">
        <f>'Match data'!K38</f>
        <v>France</v>
      </c>
      <c r="I52" s="74" t="str">
        <f>'Match data'!C38</f>
        <v>D</v>
      </c>
      <c r="J52" s="31"/>
      <c r="K52" s="220"/>
      <c r="L52" s="31"/>
      <c r="M52" s="93" t="str">
        <f>GrpE!C15</f>
        <v>Japan</v>
      </c>
      <c r="N52" s="114">
        <f>GrpE!D15</f>
        <v>0</v>
      </c>
      <c r="O52" s="114">
        <f>GrpE!E15</f>
        <v>0</v>
      </c>
      <c r="P52" s="114">
        <f>GrpE!F15</f>
        <v>0</v>
      </c>
      <c r="Q52" s="114">
        <f>GrpE!G15</f>
        <v>0</v>
      </c>
      <c r="R52" s="100">
        <f>GrpE!H15</f>
        <v>0</v>
      </c>
      <c r="S52" s="103"/>
      <c r="T52" s="132"/>
    </row>
    <row r="53" spans="1:20" ht="17.25" thickBot="1" x14ac:dyDescent="0.3">
      <c r="A53" s="139"/>
      <c r="B53" s="180" t="s">
        <v>776</v>
      </c>
      <c r="C53" s="66">
        <f>'Match data'!E39+'Match data'!N39+VLOOKUP(P$3,Config!E$2:G$28,2)-1</f>
        <v>44895.625</v>
      </c>
      <c r="D53" s="67" t="str">
        <f>'Match data'!L39</f>
        <v>Al Janoub Stadium</v>
      </c>
      <c r="E53" s="67" t="str">
        <f>'Match data'!H39</f>
        <v>Australia</v>
      </c>
      <c r="F53" s="75"/>
      <c r="G53" s="75"/>
      <c r="H53" s="67" t="str">
        <f>'Match data'!K39</f>
        <v>Denmark</v>
      </c>
      <c r="I53" s="74" t="str">
        <f>'Match data'!C39</f>
        <v>D</v>
      </c>
      <c r="J53" s="31"/>
      <c r="K53" s="220"/>
      <c r="L53" s="31"/>
      <c r="M53" s="227" t="str">
        <f>HYPERLINK(CONCATENATE("https://twitter.com/intent/tweet?button_hashtag=WorldCup2022 ",twitter!D16),twitter!P16)</f>
        <v>Click to Tweet your Group E winner</v>
      </c>
      <c r="N53" s="228"/>
      <c r="O53" s="228"/>
      <c r="P53" s="228"/>
      <c r="Q53" s="228"/>
      <c r="R53" s="228"/>
      <c r="S53" s="228"/>
      <c r="T53" s="132"/>
    </row>
    <row r="54" spans="1:20" ht="15.75" thickBot="1" x14ac:dyDescent="0.3">
      <c r="A54" s="139"/>
      <c r="B54" s="180" t="s">
        <v>777</v>
      </c>
      <c r="C54" s="66">
        <f>'Match data'!E40+'Match data'!N40+VLOOKUP(P$3,Config!E$2:G$28,2)-1</f>
        <v>44895.791666666664</v>
      </c>
      <c r="D54" s="67" t="str">
        <f>'Match data'!L40</f>
        <v>Stadium 974</v>
      </c>
      <c r="E54" s="67" t="str">
        <f>'Match data'!H40</f>
        <v>Poland</v>
      </c>
      <c r="F54" s="75"/>
      <c r="G54" s="75"/>
      <c r="H54" s="67" t="str">
        <f>'Match data'!K40</f>
        <v>Argentina</v>
      </c>
      <c r="I54" s="74" t="str">
        <f>'Match data'!C40</f>
        <v>C</v>
      </c>
      <c r="J54" s="31"/>
      <c r="K54" s="220"/>
      <c r="L54" s="31"/>
      <c r="M54" s="94" t="str">
        <f>VLOOKUP("Group F",languages!B$62:I$69,VLOOKUP(P$4,languages!B$81:C$87,2))</f>
        <v>Group F</v>
      </c>
      <c r="N54" s="95" t="str">
        <f>N48</f>
        <v>Pld</v>
      </c>
      <c r="O54" s="95" t="str">
        <f t="shared" ref="O54:Q54" si="4">O48</f>
        <v>GF</v>
      </c>
      <c r="P54" s="95" t="str">
        <f t="shared" si="4"/>
        <v>GA</v>
      </c>
      <c r="Q54" s="95" t="str">
        <f t="shared" si="4"/>
        <v>GD</v>
      </c>
      <c r="R54" s="97" t="str">
        <f>R48</f>
        <v>Pts</v>
      </c>
      <c r="S54" s="96" t="str">
        <f>S48</f>
        <v>Fair Play</v>
      </c>
      <c r="T54" s="132"/>
    </row>
    <row r="55" spans="1:20" x14ac:dyDescent="0.25">
      <c r="A55" s="139"/>
      <c r="B55" s="180" t="s">
        <v>778</v>
      </c>
      <c r="C55" s="66">
        <f>'Match data'!E41+'Match data'!N41+VLOOKUP(P$3,Config!E$2:G$28,2)-1</f>
        <v>44895.791666666664</v>
      </c>
      <c r="D55" s="67" t="str">
        <f>'Match data'!L41</f>
        <v>Lusail Stadium</v>
      </c>
      <c r="E55" s="67" t="str">
        <f>'Match data'!H41</f>
        <v>Saudi Arabia</v>
      </c>
      <c r="F55" s="75"/>
      <c r="G55" s="75"/>
      <c r="H55" s="67" t="str">
        <f>'Match data'!K41</f>
        <v>Mexico</v>
      </c>
      <c r="I55" s="74" t="str">
        <f>'Match data'!C41</f>
        <v>C</v>
      </c>
      <c r="J55" s="31"/>
      <c r="K55" s="220"/>
      <c r="L55" s="31"/>
      <c r="M55" s="90" t="str">
        <f>GrpF!C12</f>
        <v>Belgium</v>
      </c>
      <c r="N55" s="117">
        <f>GrpF!D12</f>
        <v>0</v>
      </c>
      <c r="O55" s="117">
        <f>GrpF!E12</f>
        <v>0</v>
      </c>
      <c r="P55" s="117">
        <f>GrpF!F12</f>
        <v>0</v>
      </c>
      <c r="Q55" s="117">
        <f>GrpF!G12</f>
        <v>0</v>
      </c>
      <c r="R55" s="80">
        <f>GrpF!H12</f>
        <v>0</v>
      </c>
      <c r="S55" s="102"/>
      <c r="T55" s="132"/>
    </row>
    <row r="56" spans="1:20" x14ac:dyDescent="0.25">
      <c r="A56" s="139"/>
      <c r="B56" s="180" t="s">
        <v>779</v>
      </c>
      <c r="C56" s="66">
        <f>'Match data'!E42+'Match data'!N42+VLOOKUP(P$3,Config!E$2:G$28,2)-1</f>
        <v>44896.625</v>
      </c>
      <c r="D56" s="67" t="str">
        <f>'Match data'!L42</f>
        <v>Ahmad Bin Ali Stadium</v>
      </c>
      <c r="E56" s="67" t="str">
        <f>'Match data'!H42</f>
        <v>Croatia</v>
      </c>
      <c r="F56" s="75"/>
      <c r="G56" s="75"/>
      <c r="H56" s="67" t="str">
        <f>'Match data'!K42</f>
        <v>Belgium</v>
      </c>
      <c r="I56" s="74" t="str">
        <f>'Match data'!C42</f>
        <v>F</v>
      </c>
      <c r="J56" s="31"/>
      <c r="K56" s="220"/>
      <c r="L56" s="31"/>
      <c r="M56" s="91" t="str">
        <f>GrpF!C13</f>
        <v>Canada</v>
      </c>
      <c r="N56" s="65">
        <f>GrpF!D13</f>
        <v>0</v>
      </c>
      <c r="O56" s="65">
        <f>GrpF!E13</f>
        <v>0</v>
      </c>
      <c r="P56" s="65">
        <f>GrpF!F13</f>
        <v>0</v>
      </c>
      <c r="Q56" s="65">
        <f>GrpF!G13</f>
        <v>0</v>
      </c>
      <c r="R56" s="98">
        <f>GrpF!H13</f>
        <v>0</v>
      </c>
      <c r="S56" s="102"/>
      <c r="T56" s="132"/>
    </row>
    <row r="57" spans="1:20" x14ac:dyDescent="0.25">
      <c r="A57" s="139"/>
      <c r="B57" s="180" t="s">
        <v>780</v>
      </c>
      <c r="C57" s="66">
        <f>'Match data'!E43+'Match data'!N43+VLOOKUP(P$3,Config!E$2:G$28,2)-1</f>
        <v>44896.625</v>
      </c>
      <c r="D57" s="67" t="str">
        <f>'Match data'!L43</f>
        <v>Al Thumama Stadium</v>
      </c>
      <c r="E57" s="67" t="str">
        <f>'Match data'!H43</f>
        <v>Canada</v>
      </c>
      <c r="F57" s="75"/>
      <c r="G57" s="75"/>
      <c r="H57" s="67" t="str">
        <f>'Match data'!K43</f>
        <v>Morocco</v>
      </c>
      <c r="I57" s="74" t="str">
        <f>'Match data'!C43</f>
        <v>F</v>
      </c>
      <c r="J57" s="31"/>
      <c r="K57" s="220"/>
      <c r="L57" s="31"/>
      <c r="M57" s="92" t="str">
        <f>GrpF!C14</f>
        <v>Morocco</v>
      </c>
      <c r="N57" s="115">
        <f>GrpF!D14</f>
        <v>0</v>
      </c>
      <c r="O57" s="115">
        <f>GrpF!E14</f>
        <v>0</v>
      </c>
      <c r="P57" s="115">
        <f>GrpF!F14</f>
        <v>0</v>
      </c>
      <c r="Q57" s="115">
        <f>GrpF!G14</f>
        <v>0</v>
      </c>
      <c r="R57" s="99">
        <f>GrpF!H14</f>
        <v>0</v>
      </c>
      <c r="S57" s="102"/>
      <c r="T57" s="132"/>
    </row>
    <row r="58" spans="1:20" ht="15.75" thickBot="1" x14ac:dyDescent="0.3">
      <c r="A58" s="139"/>
      <c r="B58" s="180" t="s">
        <v>781</v>
      </c>
      <c r="C58" s="66">
        <f>'Match data'!E44+'Match data'!N44+VLOOKUP(P$3,Config!E$2:G$28,2)-1</f>
        <v>44896.791666666664</v>
      </c>
      <c r="D58" s="67" t="str">
        <f>'Match data'!L44</f>
        <v>Khalifa International Stadium</v>
      </c>
      <c r="E58" s="67" t="str">
        <f>'Match data'!H44</f>
        <v>Japan</v>
      </c>
      <c r="F58" s="75"/>
      <c r="G58" s="75"/>
      <c r="H58" s="67" t="str">
        <f>'Match data'!K44</f>
        <v>Spain</v>
      </c>
      <c r="I58" s="74" t="str">
        <f>'Match data'!C44</f>
        <v>E</v>
      </c>
      <c r="J58" s="31"/>
      <c r="K58" s="220"/>
      <c r="L58" s="31"/>
      <c r="M58" s="93" t="str">
        <f>GrpF!C15</f>
        <v>Croatia</v>
      </c>
      <c r="N58" s="114">
        <f>GrpF!D15</f>
        <v>0</v>
      </c>
      <c r="O58" s="114">
        <f>GrpF!E15</f>
        <v>0</v>
      </c>
      <c r="P58" s="114">
        <f>GrpF!F15</f>
        <v>0</v>
      </c>
      <c r="Q58" s="114">
        <f>GrpF!G15</f>
        <v>0</v>
      </c>
      <c r="R58" s="100">
        <f>GrpF!H15</f>
        <v>0</v>
      </c>
      <c r="S58" s="103"/>
      <c r="T58" s="132"/>
    </row>
    <row r="59" spans="1:20" ht="17.25" thickBot="1" x14ac:dyDescent="0.3">
      <c r="A59" s="139"/>
      <c r="B59" s="180" t="s">
        <v>782</v>
      </c>
      <c r="C59" s="66">
        <f>'Match data'!E45+'Match data'!N45+VLOOKUP(P$3,Config!E$2:G$28,2)-1</f>
        <v>44896.791666666664</v>
      </c>
      <c r="D59" s="67" t="str">
        <f>'Match data'!L45</f>
        <v>Al Bayt Stadium</v>
      </c>
      <c r="E59" s="67" t="str">
        <f>'Match data'!H45</f>
        <v>Costa Rica</v>
      </c>
      <c r="F59" s="75"/>
      <c r="G59" s="75"/>
      <c r="H59" s="67" t="str">
        <f>'Match data'!K45</f>
        <v>Germany</v>
      </c>
      <c r="I59" s="74" t="str">
        <f>'Match data'!C45</f>
        <v>E</v>
      </c>
      <c r="J59" s="31"/>
      <c r="K59" s="220"/>
      <c r="L59" s="31"/>
      <c r="M59" s="227" t="str">
        <f>HYPERLINK(CONCATENATE("https://twitter.com/intent/tweet?button_hashtag=WorldCup2022 ",twitter!D17),twitter!P17)</f>
        <v>Click to Tweet your Group F winner</v>
      </c>
      <c r="N59" s="228"/>
      <c r="O59" s="228"/>
      <c r="P59" s="228"/>
      <c r="Q59" s="228"/>
      <c r="R59" s="228"/>
      <c r="S59" s="228"/>
      <c r="T59" s="132"/>
    </row>
    <row r="60" spans="1:20" ht="15.75" thickBot="1" x14ac:dyDescent="0.3">
      <c r="A60" s="139"/>
      <c r="B60" s="180" t="s">
        <v>783</v>
      </c>
      <c r="C60" s="66">
        <f>'Match data'!E46+'Match data'!N46+VLOOKUP(P$3,Config!E$2:G$28,2)-1</f>
        <v>44897.791666666664</v>
      </c>
      <c r="D60" s="67" t="str">
        <f>'Match data'!L48</f>
        <v>Education City Stadium</v>
      </c>
      <c r="E60" s="67" t="str">
        <f>'Match data'!H48</f>
        <v>Korea Republic</v>
      </c>
      <c r="F60" s="75"/>
      <c r="G60" s="75"/>
      <c r="H60" s="67" t="str">
        <f>'Match data'!K48</f>
        <v>Portugal</v>
      </c>
      <c r="I60" s="74" t="str">
        <f>'Match data'!C48</f>
        <v>H</v>
      </c>
      <c r="J60" s="31"/>
      <c r="K60" s="220"/>
      <c r="L60" s="31"/>
      <c r="M60" s="94" t="str">
        <f>VLOOKUP("Group G",languages!B$62:I$69,VLOOKUP(P$4,languages!B$81:C$87,2))</f>
        <v>Group G</v>
      </c>
      <c r="N60" s="95" t="str">
        <f>N54</f>
        <v>Pld</v>
      </c>
      <c r="O60" s="95" t="str">
        <f t="shared" ref="O60:Q60" si="5">O54</f>
        <v>GF</v>
      </c>
      <c r="P60" s="95" t="str">
        <f t="shared" si="5"/>
        <v>GA</v>
      </c>
      <c r="Q60" s="95" t="str">
        <f t="shared" si="5"/>
        <v>GD</v>
      </c>
      <c r="R60" s="97" t="str">
        <f>R54</f>
        <v>Pts</v>
      </c>
      <c r="S60" s="96" t="str">
        <f>S54</f>
        <v>Fair Play</v>
      </c>
      <c r="T60" s="132"/>
    </row>
    <row r="61" spans="1:20" x14ac:dyDescent="0.25">
      <c r="A61" s="139"/>
      <c r="B61" s="180" t="s">
        <v>784</v>
      </c>
      <c r="C61" s="66">
        <f>'Match data'!E47+'Match data'!N47+VLOOKUP(P$3,Config!E$2:G$28,2)-1</f>
        <v>44897.791666666664</v>
      </c>
      <c r="D61" s="67" t="str">
        <f>'Match data'!L49</f>
        <v>Al Janoub Stadium</v>
      </c>
      <c r="E61" s="67" t="str">
        <f>'Match data'!H49</f>
        <v>Ghana</v>
      </c>
      <c r="F61" s="75"/>
      <c r="G61" s="75"/>
      <c r="H61" s="67" t="str">
        <f>'Match data'!K49</f>
        <v>Uruguay</v>
      </c>
      <c r="I61" s="74" t="str">
        <f>'Match data'!C49</f>
        <v>H</v>
      </c>
      <c r="J61" s="31"/>
      <c r="K61" s="220"/>
      <c r="L61" s="31"/>
      <c r="M61" s="90" t="str">
        <f>GrpG!C12</f>
        <v>Brazil</v>
      </c>
      <c r="N61" s="117">
        <f>GrpG!D12</f>
        <v>0</v>
      </c>
      <c r="O61" s="117">
        <f>GrpG!E12</f>
        <v>0</v>
      </c>
      <c r="P61" s="117">
        <f>GrpG!F12</f>
        <v>0</v>
      </c>
      <c r="Q61" s="117">
        <f>GrpG!G12</f>
        <v>0</v>
      </c>
      <c r="R61" s="80">
        <f>GrpG!H12</f>
        <v>0</v>
      </c>
      <c r="S61" s="102"/>
      <c r="T61" s="132"/>
    </row>
    <row r="62" spans="1:20" x14ac:dyDescent="0.25">
      <c r="A62" s="139"/>
      <c r="B62" s="180" t="s">
        <v>785</v>
      </c>
      <c r="C62" s="66">
        <f>'Match data'!E48+'Match data'!N48+VLOOKUP(P$3,Config!E$2:G$28,2)-1</f>
        <v>44897.625</v>
      </c>
      <c r="D62" s="67" t="str">
        <f>'Match data'!L46</f>
        <v>Lusail Stadium</v>
      </c>
      <c r="E62" s="67" t="str">
        <f>'Match data'!H46</f>
        <v>Cameroon</v>
      </c>
      <c r="F62" s="75"/>
      <c r="G62" s="75"/>
      <c r="H62" s="67" t="str">
        <f>'Match data'!K46</f>
        <v>Brazil</v>
      </c>
      <c r="I62" s="74" t="str">
        <f>'Match data'!C46</f>
        <v>G</v>
      </c>
      <c r="J62" s="31"/>
      <c r="K62" s="220"/>
      <c r="L62" s="31"/>
      <c r="M62" s="91" t="str">
        <f>GrpG!C13</f>
        <v>Serbia</v>
      </c>
      <c r="N62" s="65">
        <f>GrpG!D13</f>
        <v>0</v>
      </c>
      <c r="O62" s="65">
        <f>GrpG!E13</f>
        <v>0</v>
      </c>
      <c r="P62" s="65">
        <f>GrpG!F13</f>
        <v>0</v>
      </c>
      <c r="Q62" s="65">
        <f>GrpG!G13</f>
        <v>0</v>
      </c>
      <c r="R62" s="98">
        <f>GrpG!H13</f>
        <v>0</v>
      </c>
      <c r="S62" s="102"/>
      <c r="T62" s="132"/>
    </row>
    <row r="63" spans="1:20" s="34" customFormat="1" x14ac:dyDescent="0.25">
      <c r="A63" s="139"/>
      <c r="B63" s="181" t="s">
        <v>786</v>
      </c>
      <c r="C63" s="104">
        <f>'Match data'!E49+'Match data'!N49+VLOOKUP(P$3,Config!E$2:G$28,2)-1</f>
        <v>44897.625</v>
      </c>
      <c r="D63" s="105" t="str">
        <f>'Match data'!L47</f>
        <v>Stadium 974</v>
      </c>
      <c r="E63" s="105" t="str">
        <f>'Match data'!H47</f>
        <v>Serbia</v>
      </c>
      <c r="F63" s="75"/>
      <c r="G63" s="75"/>
      <c r="H63" s="105" t="str">
        <f>'Match data'!K47</f>
        <v>Switzerland</v>
      </c>
      <c r="I63" s="106" t="str">
        <f>'Match data'!C47</f>
        <v>G</v>
      </c>
      <c r="J63" s="31"/>
      <c r="K63" s="221"/>
      <c r="L63" s="31"/>
      <c r="M63" s="92" t="str">
        <f>GrpG!C14</f>
        <v>Switzerland</v>
      </c>
      <c r="N63" s="115">
        <f>GrpG!D14</f>
        <v>0</v>
      </c>
      <c r="O63" s="115">
        <f>GrpG!E14</f>
        <v>0</v>
      </c>
      <c r="P63" s="115">
        <f>GrpG!F14</f>
        <v>0</v>
      </c>
      <c r="Q63" s="115">
        <f>GrpG!G14</f>
        <v>0</v>
      </c>
      <c r="R63" s="99">
        <f>GrpG!H14</f>
        <v>0</v>
      </c>
      <c r="S63" s="102"/>
      <c r="T63" s="132"/>
    </row>
    <row r="64" spans="1:20" s="34" customFormat="1" ht="15.75" thickBot="1" x14ac:dyDescent="0.3">
      <c r="A64" s="139"/>
      <c r="B64" s="82"/>
      <c r="C64" s="83"/>
      <c r="D64" s="84"/>
      <c r="E64" s="32"/>
      <c r="F64" s="32"/>
      <c r="G64" s="32"/>
      <c r="H64" s="32"/>
      <c r="I64" s="85"/>
      <c r="J64" s="35"/>
      <c r="K64" s="35"/>
      <c r="L64" s="35"/>
      <c r="M64" s="93" t="str">
        <f>GrpG!C15</f>
        <v>Cameroon</v>
      </c>
      <c r="N64" s="114">
        <f>GrpG!D15</f>
        <v>0</v>
      </c>
      <c r="O64" s="114">
        <f>GrpG!E15</f>
        <v>0</v>
      </c>
      <c r="P64" s="114">
        <f>GrpG!F15</f>
        <v>0</v>
      </c>
      <c r="Q64" s="114">
        <f>GrpG!G15</f>
        <v>0</v>
      </c>
      <c r="R64" s="100">
        <f>GrpG!H15</f>
        <v>0</v>
      </c>
      <c r="S64" s="103"/>
      <c r="T64" s="132"/>
    </row>
    <row r="65" spans="1:20" s="34" customFormat="1" ht="17.25" thickBot="1" x14ac:dyDescent="0.3">
      <c r="A65" s="139"/>
      <c r="B65" s="78" t="str">
        <f>VLOOKUP("Round of 16",languages!B$43:I$43,VLOOKUP(P$4,languages!B$81:C$87,2))</f>
        <v>Round of 16</v>
      </c>
      <c r="C65" s="113"/>
      <c r="D65" s="113" t="str">
        <f>D15</f>
        <v>Stadium</v>
      </c>
      <c r="E65" s="156" t="str">
        <f>E15</f>
        <v>Country</v>
      </c>
      <c r="F65" s="207" t="str">
        <f>F15</f>
        <v>Result</v>
      </c>
      <c r="G65" s="207"/>
      <c r="H65" s="113" t="str">
        <f>H15</f>
        <v>Country</v>
      </c>
      <c r="I65" s="223" t="str">
        <f>VLOOKUP("Penalties",languages!B$51:I$51,VLOOKUP(P$4,languages!B$81:C$87,2))</f>
        <v>Penalties</v>
      </c>
      <c r="J65" s="223"/>
      <c r="K65" s="224"/>
      <c r="L65" s="35"/>
      <c r="M65" s="227" t="str">
        <f>HYPERLINK(CONCATENATE("https://twitter.com/intent/tweet?button_hashtag=WorldCup2022 ",twitter!D18),twitter!P18)</f>
        <v>Click to Tweet your Group G winner</v>
      </c>
      <c r="N65" s="228"/>
      <c r="O65" s="228"/>
      <c r="P65" s="228"/>
      <c r="Q65" s="228"/>
      <c r="R65" s="228"/>
      <c r="S65" s="228"/>
      <c r="T65" s="132"/>
    </row>
    <row r="66" spans="1:20" s="34" customFormat="1" ht="15.75" thickBot="1" x14ac:dyDescent="0.3">
      <c r="A66" s="139"/>
      <c r="B66" s="180" t="str">
        <f>'Match data'!I50</f>
        <v>Match 49</v>
      </c>
      <c r="C66" s="66">
        <f>'Match data'!E50+'Match data'!N50+VLOOKUP(P$3,Config!E$2:G$28,2)-1</f>
        <v>44898.625</v>
      </c>
      <c r="D66" s="67" t="str">
        <f>'Match data'!L50</f>
        <v>Khalifa International Stadium</v>
      </c>
      <c r="E66" s="67" t="str">
        <f>'Match data'!H50</f>
        <v>Winner Group A</v>
      </c>
      <c r="F66" s="75"/>
      <c r="G66" s="75"/>
      <c r="H66" s="67" t="str">
        <f>'Match data'!K50</f>
        <v>Runner-up Group B</v>
      </c>
      <c r="I66" s="75"/>
      <c r="J66" s="208"/>
      <c r="K66" s="209"/>
      <c r="L66" s="108"/>
      <c r="M66" s="94" t="str">
        <f>VLOOKUP("Group H",languages!B$62:I$69,VLOOKUP(P$4,languages!B$81:C$87,2))</f>
        <v>Group H</v>
      </c>
      <c r="N66" s="95" t="str">
        <f>N60</f>
        <v>Pld</v>
      </c>
      <c r="O66" s="95" t="str">
        <f t="shared" ref="O66:Q66" si="6">O60</f>
        <v>GF</v>
      </c>
      <c r="P66" s="95" t="str">
        <f t="shared" si="6"/>
        <v>GA</v>
      </c>
      <c r="Q66" s="95" t="str">
        <f t="shared" si="6"/>
        <v>GD</v>
      </c>
      <c r="R66" s="97" t="str">
        <f>R60</f>
        <v>Pts</v>
      </c>
      <c r="S66" s="96" t="str">
        <f>S60</f>
        <v>Fair Play</v>
      </c>
      <c r="T66" s="132"/>
    </row>
    <row r="67" spans="1:20" s="34" customFormat="1" x14ac:dyDescent="0.25">
      <c r="A67" s="139"/>
      <c r="B67" s="180" t="str">
        <f>'Match data'!I51</f>
        <v>Match 50</v>
      </c>
      <c r="C67" s="66">
        <f>'Match data'!E51+'Match data'!N51+VLOOKUP(P$3,Config!E$2:G$28,2)-1</f>
        <v>44898.791666666664</v>
      </c>
      <c r="D67" s="67" t="str">
        <f>'Match data'!L51</f>
        <v>Ahmad Bin Ali Stadium</v>
      </c>
      <c r="E67" s="67" t="str">
        <f>'Match data'!H51</f>
        <v>Winner Group C</v>
      </c>
      <c r="F67" s="79"/>
      <c r="G67" s="79"/>
      <c r="H67" s="67" t="str">
        <f>'Match data'!K51</f>
        <v>Runner-up Group D</v>
      </c>
      <c r="I67" s="75"/>
      <c r="J67" s="208"/>
      <c r="K67" s="209"/>
      <c r="L67" s="108"/>
      <c r="M67" s="90" t="str">
        <f>GrpH!C12</f>
        <v>Portugal</v>
      </c>
      <c r="N67" s="117">
        <f>GrpH!D12</f>
        <v>0</v>
      </c>
      <c r="O67" s="117">
        <f>GrpH!E12</f>
        <v>0</v>
      </c>
      <c r="P67" s="117">
        <f>GrpH!F12</f>
        <v>0</v>
      </c>
      <c r="Q67" s="117">
        <f>GrpH!G12</f>
        <v>0</v>
      </c>
      <c r="R67" s="80">
        <f>GrpH!H12</f>
        <v>0</v>
      </c>
      <c r="S67" s="102"/>
      <c r="T67" s="132"/>
    </row>
    <row r="68" spans="1:20" s="34" customFormat="1" x14ac:dyDescent="0.25">
      <c r="A68" s="139"/>
      <c r="B68" s="180" t="s">
        <v>787</v>
      </c>
      <c r="C68" s="66">
        <f>'Match data'!E52+'Match data'!N52+VLOOKUP(P$3,Config!E$2:G$28,2)-1</f>
        <v>44899.791666666664</v>
      </c>
      <c r="D68" s="67" t="str">
        <f>'Match data'!L53</f>
        <v>Al Thumama Stadium</v>
      </c>
      <c r="E68" s="67" t="str">
        <f>'Match data'!H53</f>
        <v>Winner Group D</v>
      </c>
      <c r="F68" s="75"/>
      <c r="G68" s="75"/>
      <c r="H68" s="67" t="str">
        <f>'Match data'!K53</f>
        <v>Runner-up Group C</v>
      </c>
      <c r="I68" s="75"/>
      <c r="J68" s="208"/>
      <c r="K68" s="209"/>
      <c r="L68" s="108"/>
      <c r="M68" s="91" t="str">
        <f>GrpH!C13</f>
        <v>Ghana</v>
      </c>
      <c r="N68" s="65">
        <f>GrpH!D13</f>
        <v>0</v>
      </c>
      <c r="O68" s="65">
        <f>GrpH!E13</f>
        <v>0</v>
      </c>
      <c r="P68" s="65">
        <f>GrpH!F13</f>
        <v>0</v>
      </c>
      <c r="Q68" s="65">
        <f>GrpH!G13</f>
        <v>0</v>
      </c>
      <c r="R68" s="98">
        <f>GrpH!H13</f>
        <v>0</v>
      </c>
      <c r="S68" s="102"/>
      <c r="T68" s="132"/>
    </row>
    <row r="69" spans="1:20" s="34" customFormat="1" x14ac:dyDescent="0.25">
      <c r="A69" s="139"/>
      <c r="B69" s="180" t="s">
        <v>788</v>
      </c>
      <c r="C69" s="66">
        <f>'Match data'!E53+'Match data'!N53+VLOOKUP(P$3,Config!E$2:G$28,2)-1</f>
        <v>44899.625</v>
      </c>
      <c r="D69" s="67" t="str">
        <f>'Match data'!L52</f>
        <v>Al Bayt Stadium</v>
      </c>
      <c r="E69" s="67" t="str">
        <f>'Match data'!H52</f>
        <v>Winner Group B</v>
      </c>
      <c r="F69" s="75"/>
      <c r="G69" s="75"/>
      <c r="H69" s="67" t="str">
        <f>'Match data'!K52</f>
        <v>Runner-up Group A</v>
      </c>
      <c r="I69" s="75"/>
      <c r="J69" s="208"/>
      <c r="K69" s="209"/>
      <c r="L69" s="108"/>
      <c r="M69" s="92" t="str">
        <f>GrpH!C14</f>
        <v>Uruguay</v>
      </c>
      <c r="N69" s="115">
        <f>GrpH!D14</f>
        <v>0</v>
      </c>
      <c r="O69" s="115">
        <f>GrpH!E14</f>
        <v>0</v>
      </c>
      <c r="P69" s="115">
        <f>GrpH!F14</f>
        <v>0</v>
      </c>
      <c r="Q69" s="115">
        <f>GrpH!G14</f>
        <v>0</v>
      </c>
      <c r="R69" s="99">
        <f>GrpH!H14</f>
        <v>0</v>
      </c>
      <c r="S69" s="102"/>
      <c r="T69" s="132"/>
    </row>
    <row r="70" spans="1:20" s="34" customFormat="1" ht="15.75" thickBot="1" x14ac:dyDescent="0.3">
      <c r="A70" s="139"/>
      <c r="B70" s="180" t="str">
        <f>'Match data'!I54</f>
        <v>Match 53</v>
      </c>
      <c r="C70" s="66">
        <f>'Match data'!E54+'Match data'!N54+VLOOKUP(P$3,Config!E$2:G$28,2)-1</f>
        <v>44900.625</v>
      </c>
      <c r="D70" s="67" t="str">
        <f>'Match data'!L54</f>
        <v>Al Janoub Stadium</v>
      </c>
      <c r="E70" s="67" t="str">
        <f>'Match data'!H54</f>
        <v>Winner Group E</v>
      </c>
      <c r="F70" s="75"/>
      <c r="G70" s="75"/>
      <c r="H70" s="67" t="str">
        <f>'Match data'!K54</f>
        <v>Runner-up Group F</v>
      </c>
      <c r="I70" s="75"/>
      <c r="J70" s="208"/>
      <c r="K70" s="209"/>
      <c r="L70" s="108"/>
      <c r="M70" s="93" t="str">
        <f>GrpH!C15</f>
        <v>Korea Republic</v>
      </c>
      <c r="N70" s="114">
        <f>GrpH!D15</f>
        <v>0</v>
      </c>
      <c r="O70" s="114">
        <f>GrpH!E15</f>
        <v>0</v>
      </c>
      <c r="P70" s="114">
        <f>GrpH!F15</f>
        <v>0</v>
      </c>
      <c r="Q70" s="114">
        <f>GrpH!G15</f>
        <v>0</v>
      </c>
      <c r="R70" s="100">
        <f>GrpH!H15</f>
        <v>0</v>
      </c>
      <c r="S70" s="103"/>
      <c r="T70" s="132"/>
    </row>
    <row r="71" spans="1:20" s="34" customFormat="1" ht="16.5" x14ac:dyDescent="0.25">
      <c r="A71" s="139"/>
      <c r="B71" s="180" t="str">
        <f>'Match data'!I55</f>
        <v>Match 54</v>
      </c>
      <c r="C71" s="66">
        <f>'Match data'!E55+'Match data'!N55+VLOOKUP(P$3,Config!E$2:G$28,2)-1</f>
        <v>44900.791666666664</v>
      </c>
      <c r="D71" s="67" t="str">
        <f>'Match data'!L55</f>
        <v>Stadium 974</v>
      </c>
      <c r="E71" s="67" t="str">
        <f>'Match data'!H55</f>
        <v>Winner Group G</v>
      </c>
      <c r="F71" s="75"/>
      <c r="G71" s="75"/>
      <c r="H71" s="67" t="str">
        <f>'Match data'!K55</f>
        <v>Runner-up Group H</v>
      </c>
      <c r="I71" s="75"/>
      <c r="J71" s="208"/>
      <c r="K71" s="209"/>
      <c r="L71" s="108"/>
      <c r="M71" s="229" t="str">
        <f>HYPERLINK(CONCATENATE("https://twitter.com/intent/tweet?button_hashtag=WorldCup2022 ",twitter!D19),twitter!P19)</f>
        <v>Click to Tweet your Group H winner</v>
      </c>
      <c r="N71" s="230"/>
      <c r="O71" s="230"/>
      <c r="P71" s="230"/>
      <c r="Q71" s="230"/>
      <c r="R71" s="230"/>
      <c r="S71" s="230"/>
      <c r="T71" s="132"/>
    </row>
    <row r="72" spans="1:20" s="34" customFormat="1" x14ac:dyDescent="0.25">
      <c r="A72" s="139"/>
      <c r="B72" s="180" t="str">
        <f>'Match data'!I56</f>
        <v>Match 55</v>
      </c>
      <c r="C72" s="66">
        <f>'Match data'!E56+'Match data'!N56+VLOOKUP(P$3,Config!E$2:G$28,2)-1</f>
        <v>44901.625</v>
      </c>
      <c r="D72" s="67" t="str">
        <f>'Match data'!L56</f>
        <v>Education City Stadium</v>
      </c>
      <c r="E72" s="67" t="str">
        <f>'Match data'!H56</f>
        <v>Winner Group F</v>
      </c>
      <c r="F72" s="75"/>
      <c r="G72" s="75"/>
      <c r="H72" s="67" t="str">
        <f>'Match data'!K56</f>
        <v>Runner-up Group E</v>
      </c>
      <c r="I72" s="75"/>
      <c r="J72" s="208"/>
      <c r="K72" s="209"/>
      <c r="L72" s="108"/>
      <c r="M72" s="59"/>
      <c r="N72" s="59"/>
      <c r="O72" s="59"/>
      <c r="P72" s="59"/>
      <c r="Q72" s="59"/>
      <c r="R72" s="59"/>
      <c r="S72" s="59"/>
      <c r="T72" s="132"/>
    </row>
    <row r="73" spans="1:20" s="34" customFormat="1" ht="14.45" customHeight="1" x14ac:dyDescent="0.25">
      <c r="A73" s="139"/>
      <c r="B73" s="181" t="str">
        <f>'Match data'!I57</f>
        <v>Match 56</v>
      </c>
      <c r="C73" s="104">
        <f>'Match data'!E57+'Match data'!N57+VLOOKUP(P$3,Config!E$2:G$28,2)-1</f>
        <v>44901.791666666664</v>
      </c>
      <c r="D73" s="105" t="str">
        <f>'Match data'!L57</f>
        <v>Lusail Stadium</v>
      </c>
      <c r="E73" s="105" t="str">
        <f>'Match data'!H57</f>
        <v>Winner Group H</v>
      </c>
      <c r="F73" s="75"/>
      <c r="G73" s="75"/>
      <c r="H73" s="105" t="str">
        <f>'Match data'!K57</f>
        <v>Runner-up Group G</v>
      </c>
      <c r="I73" s="75"/>
      <c r="J73" s="208"/>
      <c r="K73" s="209"/>
      <c r="L73" s="108"/>
      <c r="M73" s="59"/>
      <c r="N73" s="59"/>
      <c r="O73" s="59"/>
      <c r="P73" s="59"/>
      <c r="Q73" s="59"/>
      <c r="R73" s="59"/>
      <c r="S73" s="59"/>
      <c r="T73" s="132"/>
    </row>
    <row r="74" spans="1:20" s="34" customFormat="1" ht="15.75" thickBot="1" x14ac:dyDescent="0.3">
      <c r="A74" s="139"/>
      <c r="B74" s="86"/>
      <c r="C74" s="87"/>
      <c r="D74" s="84"/>
      <c r="E74" s="88"/>
      <c r="F74" s="88"/>
      <c r="G74" s="88"/>
      <c r="H74" s="88"/>
      <c r="I74" s="89"/>
      <c r="J74" s="110"/>
      <c r="K74" s="110"/>
      <c r="L74" s="111"/>
      <c r="M74" s="33"/>
      <c r="N74" s="33"/>
      <c r="O74" s="33"/>
      <c r="P74" s="33"/>
      <c r="Q74" s="33"/>
      <c r="R74" s="33"/>
      <c r="S74" s="33"/>
      <c r="T74" s="132"/>
    </row>
    <row r="75" spans="1:20" s="34" customFormat="1" ht="15.75" thickBot="1" x14ac:dyDescent="0.3">
      <c r="A75" s="139"/>
      <c r="B75" s="78" t="str">
        <f>VLOOKUP("Quarter Finals",languages!B$44:I$44,VLOOKUP(P$4,languages!B$81:C$87,2))</f>
        <v>Quarter Finals</v>
      </c>
      <c r="C75" s="113"/>
      <c r="D75" s="113" t="str">
        <f>D65</f>
        <v>Stadium</v>
      </c>
      <c r="E75" s="113" t="str">
        <f>E65</f>
        <v>Country</v>
      </c>
      <c r="F75" s="207" t="str">
        <f>F65</f>
        <v>Result</v>
      </c>
      <c r="G75" s="207"/>
      <c r="H75" s="113" t="str">
        <f>H65</f>
        <v>Country</v>
      </c>
      <c r="I75" s="223" t="str">
        <f>I65</f>
        <v>Penalties</v>
      </c>
      <c r="J75" s="223"/>
      <c r="K75" s="224"/>
      <c r="L75" s="109"/>
      <c r="M75" s="39"/>
      <c r="N75" s="39"/>
      <c r="O75" s="39"/>
      <c r="P75" s="39"/>
      <c r="Q75" s="39"/>
      <c r="R75" s="39"/>
      <c r="S75" s="39"/>
      <c r="T75" s="132"/>
    </row>
    <row r="76" spans="1:20" s="34" customFormat="1" ht="14.45" customHeight="1" x14ac:dyDescent="0.25">
      <c r="A76" s="139"/>
      <c r="B76" s="180" t="str">
        <f>'Match data'!I58</f>
        <v>Match 57</v>
      </c>
      <c r="C76" s="66">
        <f>'Match data'!E58+'Match data'!N58+VLOOKUP(P$3,Config!E$2:G$28,2)-1</f>
        <v>44904.791666666664</v>
      </c>
      <c r="D76" s="67" t="str">
        <f>'Match data'!L58</f>
        <v>Lusail Stadium</v>
      </c>
      <c r="E76" s="67" t="str">
        <f>'Match data'!H58</f>
        <v>Winner Match 49</v>
      </c>
      <c r="F76" s="75"/>
      <c r="G76" s="75"/>
      <c r="H76" s="67" t="str">
        <f>'Match data'!K58</f>
        <v>Winner Match 50</v>
      </c>
      <c r="I76" s="75"/>
      <c r="J76" s="208"/>
      <c r="K76" s="209"/>
      <c r="L76" s="108"/>
      <c r="M76"/>
      <c r="N76" s="61"/>
      <c r="O76" s="61"/>
      <c r="P76" s="61"/>
      <c r="Q76" s="61"/>
      <c r="R76" s="61"/>
      <c r="S76" s="61"/>
      <c r="T76" s="132"/>
    </row>
    <row r="77" spans="1:20" s="34" customFormat="1" x14ac:dyDescent="0.25">
      <c r="A77" s="139"/>
      <c r="B77" s="180" t="str">
        <f>'Match data'!I59</f>
        <v>Match 58</v>
      </c>
      <c r="C77" s="66">
        <f>'Match data'!E59+'Match data'!N59+VLOOKUP(P$3,Config!E$2:G$28,2)-1</f>
        <v>44904.625</v>
      </c>
      <c r="D77" s="67" t="str">
        <f>'Match data'!L59</f>
        <v>Education City Stadium</v>
      </c>
      <c r="E77" s="67" t="str">
        <f>'Match data'!H59</f>
        <v>Winner Match 53</v>
      </c>
      <c r="F77" s="75"/>
      <c r="G77" s="75"/>
      <c r="H77" s="67" t="str">
        <f>'Match data'!K59</f>
        <v>Winner Match 54</v>
      </c>
      <c r="I77" s="75"/>
      <c r="J77" s="208"/>
      <c r="K77" s="209"/>
      <c r="L77" s="108"/>
      <c r="M77" s="60"/>
      <c r="N77" s="61"/>
      <c r="O77" s="61"/>
      <c r="P77"/>
      <c r="Q77" s="61"/>
      <c r="R77" s="61"/>
      <c r="S77" s="61"/>
      <c r="T77" s="132"/>
    </row>
    <row r="78" spans="1:20" s="34" customFormat="1" x14ac:dyDescent="0.25">
      <c r="A78" s="139"/>
      <c r="B78" s="180" t="str">
        <f>'Match data'!I61</f>
        <v>Match 60</v>
      </c>
      <c r="C78" s="66">
        <f>'Match data'!E60+'Match data'!N60+VLOOKUP(P$3,Config!E$2:G$28,2)-1</f>
        <v>44905.791666666664</v>
      </c>
      <c r="D78" s="67" t="str">
        <f>'Match data'!L61</f>
        <v>Al Thumama Stadium</v>
      </c>
      <c r="E78" s="67" t="str">
        <f>'Match data'!H61</f>
        <v>Winner Match 55</v>
      </c>
      <c r="F78" s="75"/>
      <c r="G78" s="75"/>
      <c r="H78" s="67" t="str">
        <f>'Match data'!K61</f>
        <v>Winner Match 56</v>
      </c>
      <c r="I78" s="75"/>
      <c r="J78" s="208"/>
      <c r="K78" s="209"/>
      <c r="L78" s="108"/>
      <c r="M78" s="60"/>
      <c r="N78" s="61"/>
      <c r="O78" s="61"/>
      <c r="P78" s="61"/>
      <c r="Q78" s="61"/>
      <c r="R78" s="61"/>
      <c r="S78" s="61"/>
      <c r="T78" s="132"/>
    </row>
    <row r="79" spans="1:20" x14ac:dyDescent="0.25">
      <c r="A79" s="139"/>
      <c r="B79" s="181" t="str">
        <f>'Match data'!I60</f>
        <v>Match 59</v>
      </c>
      <c r="C79" s="104">
        <f>'Match data'!E61+'Match data'!N61+VLOOKUP(P$3,Config!E$2:G$28,2)-1</f>
        <v>44905.625</v>
      </c>
      <c r="D79" s="105" t="str">
        <f>'Match data'!L60</f>
        <v>Al Bayt Stadium</v>
      </c>
      <c r="E79" s="105" t="str">
        <f>'Match data'!H60</f>
        <v>Winner Match 51</v>
      </c>
      <c r="F79" s="75"/>
      <c r="G79" s="75"/>
      <c r="H79" s="105" t="str">
        <f>'Match data'!K60</f>
        <v>Winner Match 52</v>
      </c>
      <c r="I79" s="75"/>
      <c r="J79" s="208"/>
      <c r="K79" s="209"/>
      <c r="L79" s="108"/>
      <c r="M79" s="60"/>
      <c r="N79" s="61"/>
      <c r="O79" s="61"/>
      <c r="P79" s="61"/>
      <c r="Q79" s="61"/>
      <c r="R79" s="61"/>
      <c r="S79" s="61"/>
      <c r="T79" s="132"/>
    </row>
    <row r="80" spans="1:20" ht="15.75" thickBot="1" x14ac:dyDescent="0.3">
      <c r="A80" s="139"/>
      <c r="B80" s="86"/>
      <c r="C80" s="87"/>
      <c r="D80" s="84"/>
      <c r="E80" s="88"/>
      <c r="F80" s="88"/>
      <c r="G80" s="88"/>
      <c r="H80" s="88"/>
      <c r="I80" s="89"/>
      <c r="J80" s="110"/>
      <c r="K80" s="110"/>
      <c r="L80" s="111"/>
      <c r="M80" s="60"/>
      <c r="N80" s="61"/>
      <c r="O80" s="61"/>
      <c r="P80" s="61"/>
      <c r="Q80" s="61"/>
      <c r="R80" s="61"/>
      <c r="S80" s="61"/>
      <c r="T80" s="132"/>
    </row>
    <row r="81" spans="1:20" ht="16.5" thickBot="1" x14ac:dyDescent="0.3">
      <c r="A81" s="139"/>
      <c r="B81" s="78" t="str">
        <f>VLOOKUP("Semi Finals",languages!B$45:I$45,VLOOKUP(P$4,languages!B$81:C$87,2))</f>
        <v>Semi Finals</v>
      </c>
      <c r="C81" s="113"/>
      <c r="D81" s="113" t="str">
        <f>D75</f>
        <v>Stadium</v>
      </c>
      <c r="E81" s="113" t="str">
        <f>E75</f>
        <v>Country</v>
      </c>
      <c r="F81" s="207" t="str">
        <f>F75</f>
        <v>Result</v>
      </c>
      <c r="G81" s="207"/>
      <c r="H81" s="113" t="str">
        <f>H75</f>
        <v>Country</v>
      </c>
      <c r="I81" s="223" t="str">
        <f>I75</f>
        <v>Penalties</v>
      </c>
      <c r="J81" s="223"/>
      <c r="K81" s="224"/>
      <c r="L81" s="109"/>
      <c r="M81" s="222"/>
      <c r="N81" s="222"/>
      <c r="O81" s="222"/>
      <c r="P81" s="222"/>
      <c r="Q81" s="222"/>
      <c r="R81" s="222"/>
      <c r="S81" s="222"/>
      <c r="T81" s="132"/>
    </row>
    <row r="82" spans="1:20" ht="14.45" customHeight="1" x14ac:dyDescent="0.25">
      <c r="A82" s="139"/>
      <c r="B82" s="180" t="str">
        <f>'Match data'!I62</f>
        <v>Match 61</v>
      </c>
      <c r="C82" s="66">
        <f>'Match data'!E62+'Match data'!N62+VLOOKUP(P$3,Config!E$2:G$28,2)-1</f>
        <v>44908.791666666664</v>
      </c>
      <c r="D82" s="67" t="str">
        <f>'Match data'!L62</f>
        <v>Lusail Stadium</v>
      </c>
      <c r="E82" s="67" t="str">
        <f>'Match data'!H62</f>
        <v>Winner Match 57</v>
      </c>
      <c r="F82" s="75"/>
      <c r="G82" s="75"/>
      <c r="H82" s="67" t="str">
        <f>'Match data'!K62</f>
        <v>Winner Match 58</v>
      </c>
      <c r="I82" s="75"/>
      <c r="J82" s="208"/>
      <c r="K82" s="209"/>
      <c r="L82" s="108"/>
      <c r="M82" s="131"/>
      <c r="N82" s="61"/>
      <c r="O82" s="61"/>
      <c r="P82" s="61"/>
      <c r="Q82" s="61"/>
      <c r="R82" s="61"/>
      <c r="S82" s="61"/>
      <c r="T82" s="132"/>
    </row>
    <row r="83" spans="1:20" s="34" customFormat="1" x14ac:dyDescent="0.25">
      <c r="A83" s="139"/>
      <c r="B83" s="181" t="str">
        <f>'Match data'!I63</f>
        <v>Match 62</v>
      </c>
      <c r="C83" s="104">
        <f>'Match data'!E63+'Match data'!N63+VLOOKUP(P$3,Config!E$2:G$28,2)-1</f>
        <v>44909.791666666664</v>
      </c>
      <c r="D83" s="105" t="str">
        <f>'Match data'!L63</f>
        <v>Al Bayt Stadium</v>
      </c>
      <c r="E83" s="105" t="str">
        <f>'Match data'!H63</f>
        <v>Winner Match 59</v>
      </c>
      <c r="F83" s="75"/>
      <c r="G83" s="75"/>
      <c r="H83" s="105" t="str">
        <f>'Match data'!K63</f>
        <v>Winner Match 60</v>
      </c>
      <c r="I83" s="75"/>
      <c r="J83" s="208"/>
      <c r="K83" s="209"/>
      <c r="L83" s="108"/>
      <c r="M83" s="152" t="str">
        <f>'League Format'!A1</f>
        <v>In the league format, the ranking in each group is determined by:</v>
      </c>
      <c r="N83" s="153"/>
      <c r="O83" s="153"/>
      <c r="P83" s="153"/>
      <c r="Q83" s="153"/>
      <c r="R83" s="153"/>
      <c r="S83" s="154"/>
      <c r="T83" s="132"/>
    </row>
    <row r="84" spans="1:20" s="34" customFormat="1" ht="15.75" thickBot="1" x14ac:dyDescent="0.3">
      <c r="A84" s="139"/>
      <c r="B84" s="86"/>
      <c r="C84" s="87"/>
      <c r="D84" s="84"/>
      <c r="E84" s="88"/>
      <c r="F84" s="88"/>
      <c r="G84" s="88"/>
      <c r="H84" s="88"/>
      <c r="I84" s="89"/>
      <c r="J84" s="110"/>
      <c r="K84" s="110"/>
      <c r="L84" s="111"/>
      <c r="M84" s="146" t="str">
        <f>'League Format'!A2</f>
        <v>a) greatest number of points obtained in all group matches;</v>
      </c>
      <c r="N84" s="147"/>
      <c r="O84" s="147"/>
      <c r="P84" s="147"/>
      <c r="Q84" s="147"/>
      <c r="R84" s="147"/>
      <c r="S84" s="148"/>
      <c r="T84" s="132"/>
    </row>
    <row r="85" spans="1:20" s="34" customFormat="1" ht="15.75" thickBot="1" x14ac:dyDescent="0.3">
      <c r="A85" s="139"/>
      <c r="B85" s="78" t="str">
        <f>VLOOKUP("Match for third place",languages!B$46:I$46,VLOOKUP(P$4,languages!B$81:C$87,2))</f>
        <v>Match for Third Place</v>
      </c>
      <c r="C85" s="113"/>
      <c r="D85" s="113" t="str">
        <f>D81</f>
        <v>Stadium</v>
      </c>
      <c r="E85" s="113" t="str">
        <f>E81</f>
        <v>Country</v>
      </c>
      <c r="F85" s="207" t="str">
        <f>F81</f>
        <v>Result</v>
      </c>
      <c r="G85" s="207"/>
      <c r="H85" s="113" t="str">
        <f>H81</f>
        <v>Country</v>
      </c>
      <c r="I85" s="223" t="str">
        <f>I81</f>
        <v>Penalties</v>
      </c>
      <c r="J85" s="223"/>
      <c r="K85" s="224"/>
      <c r="L85" s="109"/>
      <c r="M85" s="146" t="str">
        <f>'League Format'!A3</f>
        <v>b) goal difference in all group matches;</v>
      </c>
      <c r="N85" s="147"/>
      <c r="O85" s="147"/>
      <c r="P85" s="147"/>
      <c r="Q85" s="147"/>
      <c r="R85" s="147"/>
      <c r="S85" s="148"/>
      <c r="T85" s="132"/>
    </row>
    <row r="86" spans="1:20" s="34" customFormat="1" ht="14.45" customHeight="1" x14ac:dyDescent="0.25">
      <c r="A86" s="139"/>
      <c r="B86" s="181" t="str">
        <f>'Match data'!I64</f>
        <v>Match 63</v>
      </c>
      <c r="C86" s="104">
        <f>'Match data'!E64+'Match data'!N64+VLOOKUP(P$3,Config!E$2:G$28,2)-1</f>
        <v>44912.625</v>
      </c>
      <c r="D86" s="105" t="str">
        <f>'Match data'!L64</f>
        <v>Khalifa International Stadium</v>
      </c>
      <c r="E86" s="105" t="str">
        <f>'Match data'!H64</f>
        <v>Loser Match 61</v>
      </c>
      <c r="F86" s="75"/>
      <c r="G86" s="75"/>
      <c r="H86" s="105" t="str">
        <f>'Match data'!K64</f>
        <v>Loser Match 62</v>
      </c>
      <c r="I86" s="75"/>
      <c r="J86" s="208"/>
      <c r="K86" s="209"/>
      <c r="L86" s="108"/>
      <c r="M86" s="146" t="str">
        <f>'League Format'!A4</f>
        <v>c) greatest number of goals scored in all group matches.</v>
      </c>
      <c r="N86" s="147"/>
      <c r="O86" s="147"/>
      <c r="P86" s="147"/>
      <c r="Q86" s="147"/>
      <c r="R86" s="147"/>
      <c r="S86" s="148"/>
      <c r="T86" s="132"/>
    </row>
    <row r="87" spans="1:20" s="34" customFormat="1" ht="15.75" thickBot="1" x14ac:dyDescent="0.3">
      <c r="A87" s="139"/>
      <c r="B87" s="86"/>
      <c r="C87" s="87"/>
      <c r="D87" s="84"/>
      <c r="E87" s="88"/>
      <c r="F87" s="88"/>
      <c r="G87" s="88"/>
      <c r="H87" s="88"/>
      <c r="I87" s="89"/>
      <c r="J87" s="110"/>
      <c r="K87" s="110"/>
      <c r="L87" s="111"/>
      <c r="M87" s="146" t="str">
        <f>'League Format'!A5</f>
        <v>If two or more teams are equal on basis of above criteria, rankings determined by:</v>
      </c>
      <c r="N87" s="147"/>
      <c r="O87" s="147"/>
      <c r="P87" s="147"/>
      <c r="Q87" s="147"/>
      <c r="R87" s="147"/>
      <c r="S87" s="148"/>
      <c r="T87" s="132"/>
    </row>
    <row r="88" spans="1:20" s="34" customFormat="1" ht="15.75" thickBot="1" x14ac:dyDescent="0.3">
      <c r="A88" s="139"/>
      <c r="B88" s="78" t="str">
        <f>VLOOKUP("Final",languages!B$47:I$47,VLOOKUP(P$4,languages!B$81:C$87,2))</f>
        <v>Final</v>
      </c>
      <c r="C88" s="113"/>
      <c r="D88" s="113" t="str">
        <f>D85</f>
        <v>Stadium</v>
      </c>
      <c r="E88" s="113" t="str">
        <f>E85</f>
        <v>Country</v>
      </c>
      <c r="F88" s="207" t="str">
        <f>F85</f>
        <v>Result</v>
      </c>
      <c r="G88" s="207"/>
      <c r="H88" s="113" t="str">
        <f>H85</f>
        <v>Country</v>
      </c>
      <c r="I88" s="223" t="str">
        <f>I85</f>
        <v>Penalties</v>
      </c>
      <c r="J88" s="223"/>
      <c r="K88" s="224"/>
      <c r="L88" s="109"/>
      <c r="M88" s="146" t="str">
        <f>'League Format'!A6</f>
        <v>d) greatest number of points in the group matches between teams concerned</v>
      </c>
      <c r="N88" s="147"/>
      <c r="O88" s="147"/>
      <c r="P88" s="147"/>
      <c r="Q88" s="147"/>
      <c r="R88" s="147"/>
      <c r="S88" s="148"/>
      <c r="T88" s="132"/>
    </row>
    <row r="89" spans="1:20" s="34" customFormat="1" ht="15.75" thickBot="1" x14ac:dyDescent="0.3">
      <c r="A89" s="139"/>
      <c r="B89" s="182" t="str">
        <f>'Match data'!I65</f>
        <v>Match 64</v>
      </c>
      <c r="C89" s="76">
        <f>'Match data'!E65+'Match data'!N65+VLOOKUP(P$3,Config!E$2:G$28,2)-1</f>
        <v>44913.625</v>
      </c>
      <c r="D89" s="77" t="str">
        <f>'Match data'!L65</f>
        <v>Lusail Stadium</v>
      </c>
      <c r="E89" s="77" t="str">
        <f>'Match data'!H65</f>
        <v>Winner Match 61</v>
      </c>
      <c r="F89" s="81"/>
      <c r="G89" s="81"/>
      <c r="H89" s="77" t="str">
        <f>'Match data'!K65</f>
        <v>Winner Match 62</v>
      </c>
      <c r="I89" s="75"/>
      <c r="J89" s="208"/>
      <c r="K89" s="209"/>
      <c r="L89" s="108"/>
      <c r="M89" s="146" t="str">
        <f>'League Format'!A7</f>
        <v>e) goal difference resulting from the group matches between the teams concerned</v>
      </c>
      <c r="N89" s="147"/>
      <c r="O89" s="147"/>
      <c r="P89" s="147"/>
      <c r="Q89" s="147"/>
      <c r="R89" s="147"/>
      <c r="S89" s="148"/>
      <c r="T89" s="132"/>
    </row>
    <row r="90" spans="1:20" s="34" customFormat="1" ht="15.75" thickBot="1" x14ac:dyDescent="0.3">
      <c r="A90" s="139"/>
      <c r="B90" s="64"/>
      <c r="C90" s="32"/>
      <c r="D90" s="33"/>
      <c r="E90" s="31"/>
      <c r="F90" s="31"/>
      <c r="G90" s="32"/>
      <c r="H90" s="32"/>
      <c r="I90" s="31"/>
      <c r="J90" s="62"/>
      <c r="K90" s="62"/>
      <c r="L90" s="62"/>
      <c r="M90" s="146" t="str">
        <f>'League Format'!A8</f>
        <v>f) greater number of goals scored in all group matches between teams concerned</v>
      </c>
      <c r="N90" s="147"/>
      <c r="O90" s="147"/>
      <c r="P90" s="147"/>
      <c r="Q90" s="147"/>
      <c r="R90" s="147"/>
      <c r="S90" s="148"/>
      <c r="T90" s="132"/>
    </row>
    <row r="91" spans="1:20" s="34" customFormat="1" ht="15.75" thickBot="1" x14ac:dyDescent="0.3">
      <c r="A91" s="139"/>
      <c r="B91" s="233" t="str">
        <f>IF(Config!A152=1,HYPERLINK(Config!E155,Config!D155),IF(Config!A152=2,HYPERLINK(Config!E156,Config!D156),IF(Config!A152=3,HYPERLINK(Config!E157,Config!D157),IF(Config!A152=4,HYPERLINK(Config!E158,Config!D158),HYPERLINK(Config!E159,Config!D159)))))</f>
        <v>Click here to buy us a coffee</v>
      </c>
      <c r="C91" s="234"/>
      <c r="D91" s="235"/>
      <c r="E91" s="231" t="str">
        <f>VLOOKUP("Champion",languages!B$71:I$71,VLOOKUP(P$4,languages!B$81:C$87,2))</f>
        <v>2022 FIFA World Cup Champion</v>
      </c>
      <c r="F91" s="232"/>
      <c r="G91" s="232"/>
      <c r="H91" s="145" t="str">
        <f>Config!C69</f>
        <v>Winner Match 64</v>
      </c>
      <c r="I91" s="217" t="str">
        <f>IF(F89+G89&gt;0,HYPERLINK(CONCATENATE("https://twitter.com/intent/tweet?button_hashtag=WorldCup2022 ",twitter!A1),"Tweet it!"),"")</f>
        <v/>
      </c>
      <c r="J91" s="217"/>
      <c r="K91" s="218"/>
      <c r="L91" s="63"/>
      <c r="M91" s="146" t="str">
        <f>'League Format'!A9</f>
        <v>g) the goals scored away from home count double between the teams concerned</v>
      </c>
      <c r="N91" s="147"/>
      <c r="O91" s="147"/>
      <c r="P91" s="147"/>
      <c r="Q91" s="147"/>
      <c r="R91" s="147"/>
      <c r="S91" s="148"/>
      <c r="T91" s="132"/>
    </row>
    <row r="92" spans="1:20" s="34" customFormat="1" x14ac:dyDescent="0.25">
      <c r="A92" s="139"/>
      <c r="B92" s="234"/>
      <c r="C92" s="234"/>
      <c r="D92" s="235"/>
      <c r="E92" s="213" t="str">
        <f>VLOOKUP("Second",languages!B$61:I$61,VLOOKUP(P$4,languages!B$81:C$87,2))</f>
        <v>Second place</v>
      </c>
      <c r="F92" s="214"/>
      <c r="G92" s="214"/>
      <c r="H92" s="101" t="str">
        <f>Config!C37</f>
        <v>Loser Match 64</v>
      </c>
      <c r="I92" s="31"/>
      <c r="J92" s="63"/>
      <c r="K92" s="63"/>
      <c r="L92" s="63"/>
      <c r="M92" s="146" t="str">
        <f>'League Format'!A10</f>
        <v>h) fair play points where the number of yellow/red cards is considered as follows:</v>
      </c>
      <c r="N92" s="147"/>
      <c r="O92" s="147"/>
      <c r="P92" s="147"/>
      <c r="Q92" s="147"/>
      <c r="R92" s="147"/>
      <c r="S92" s="148"/>
      <c r="T92" s="132"/>
    </row>
    <row r="93" spans="1:20" s="34" customFormat="1" x14ac:dyDescent="0.25">
      <c r="A93" s="139"/>
      <c r="B93" s="234"/>
      <c r="C93" s="234"/>
      <c r="D93" s="235"/>
      <c r="E93" s="215" t="s">
        <v>209</v>
      </c>
      <c r="F93" s="216"/>
      <c r="G93" s="216"/>
      <c r="H93" s="99" t="str">
        <f>Config!C68</f>
        <v>Winner Match 63</v>
      </c>
      <c r="I93"/>
      <c r="J93" s="63"/>
      <c r="K93" s="63"/>
      <c r="L93" s="63"/>
      <c r="M93" s="146" t="str">
        <f>'League Format'!A11</f>
        <v>1st yellow 1pt; 2nd yellow/indirect red 3pts; direct red 4pts; yellow&amp;direct red 5pts</v>
      </c>
      <c r="N93" s="147"/>
      <c r="O93" s="147"/>
      <c r="P93" s="147"/>
      <c r="Q93" s="147"/>
      <c r="R93" s="147"/>
      <c r="S93" s="148"/>
      <c r="T93" s="132"/>
    </row>
    <row r="94" spans="1:20" s="34" customFormat="1" ht="15.75" thickBot="1" x14ac:dyDescent="0.3">
      <c r="A94" s="139"/>
      <c r="B94" s="199" t="s">
        <v>812</v>
      </c>
      <c r="C94" s="199"/>
      <c r="D94" s="200"/>
      <c r="E94" s="210" t="s">
        <v>210</v>
      </c>
      <c r="F94" s="211"/>
      <c r="G94" s="211"/>
      <c r="H94" s="100" t="str">
        <f>Config!C36</f>
        <v>Loser Match 63</v>
      </c>
      <c r="I94" s="31"/>
      <c r="J94" s="63"/>
      <c r="K94" s="63"/>
      <c r="L94" s="63"/>
      <c r="M94" s="149" t="str">
        <f>'League Format'!A12</f>
        <v>i) drawing of lots by the FIFA Organising Committee</v>
      </c>
      <c r="N94" s="150"/>
      <c r="O94" s="150"/>
      <c r="P94" s="150"/>
      <c r="Q94" s="150"/>
      <c r="R94" s="150"/>
      <c r="S94" s="151"/>
      <c r="T94" s="132"/>
    </row>
    <row r="95" spans="1:20" s="34" customFormat="1" ht="7.9" customHeight="1" x14ac:dyDescent="0.25">
      <c r="A95" s="133"/>
      <c r="B95" s="134"/>
      <c r="C95" s="144"/>
      <c r="D95" s="134"/>
      <c r="E95" s="134"/>
      <c r="F95" s="134"/>
      <c r="G95" s="144"/>
      <c r="H95" s="14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5"/>
      <c r="T95" s="134"/>
    </row>
    <row r="96" spans="1:20" hidden="1" x14ac:dyDescent="0.25">
      <c r="A96" s="30"/>
      <c r="B96" s="30"/>
      <c r="C96" s="30"/>
      <c r="D96" s="30"/>
      <c r="G96" s="30"/>
      <c r="H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x14ac:dyDescent="0.25"/>
  </sheetData>
  <sheetProtection algorithmName="SHA-512" hashValue="RG5IKZ7vrRA9yLItKimyCEyYT/C4LM6okH4wQ+T8qKdL7+o1+0ypJZVN0XqTpEcIGGp5UzARZva7Z3gLOP6/Mg==" saltValue="YKEG6nAlVM+18DV6pltlpA==" spinCount="100000" sheet="1" objects="1" scenarios="1"/>
  <mergeCells count="65">
    <mergeCell ref="P4:S4"/>
    <mergeCell ref="M4:O4"/>
    <mergeCell ref="B12:S12"/>
    <mergeCell ref="J70:K70"/>
    <mergeCell ref="J71:K71"/>
    <mergeCell ref="J68:K68"/>
    <mergeCell ref="B7:S7"/>
    <mergeCell ref="M14:S15"/>
    <mergeCell ref="M21:S22"/>
    <mergeCell ref="M16:S20"/>
    <mergeCell ref="M59:S59"/>
    <mergeCell ref="J67:K67"/>
    <mergeCell ref="J66:K66"/>
    <mergeCell ref="J69:K69"/>
    <mergeCell ref="F65:G65"/>
    <mergeCell ref="C8:G8"/>
    <mergeCell ref="I9:R9"/>
    <mergeCell ref="C9:G9"/>
    <mergeCell ref="C10:G10"/>
    <mergeCell ref="M47:S47"/>
    <mergeCell ref="M53:S53"/>
    <mergeCell ref="M35:S35"/>
    <mergeCell ref="M41:S41"/>
    <mergeCell ref="M65:S65"/>
    <mergeCell ref="M71:S71"/>
    <mergeCell ref="E91:G91"/>
    <mergeCell ref="I65:K65"/>
    <mergeCell ref="B91:D93"/>
    <mergeCell ref="F81:G81"/>
    <mergeCell ref="J83:K83"/>
    <mergeCell ref="J86:K86"/>
    <mergeCell ref="F88:G88"/>
    <mergeCell ref="J82:K82"/>
    <mergeCell ref="I8:R8"/>
    <mergeCell ref="J72:K72"/>
    <mergeCell ref="E92:G92"/>
    <mergeCell ref="E93:G93"/>
    <mergeCell ref="J89:K89"/>
    <mergeCell ref="I91:K91"/>
    <mergeCell ref="K14:K63"/>
    <mergeCell ref="M81:S81"/>
    <mergeCell ref="I75:K75"/>
    <mergeCell ref="I81:K81"/>
    <mergeCell ref="I85:K85"/>
    <mergeCell ref="I88:K88"/>
    <mergeCell ref="M29:S29"/>
    <mergeCell ref="J76:K76"/>
    <mergeCell ref="F75:G75"/>
    <mergeCell ref="J73:K73"/>
    <mergeCell ref="B94:D94"/>
    <mergeCell ref="B2:J5"/>
    <mergeCell ref="P3:S3"/>
    <mergeCell ref="P2:S2"/>
    <mergeCell ref="P5:S5"/>
    <mergeCell ref="M5:O5"/>
    <mergeCell ref="M2:O2"/>
    <mergeCell ref="M3:O3"/>
    <mergeCell ref="B6:S6"/>
    <mergeCell ref="F15:G15"/>
    <mergeCell ref="F14:G14"/>
    <mergeCell ref="F85:G85"/>
    <mergeCell ref="J77:K77"/>
    <mergeCell ref="J78:K78"/>
    <mergeCell ref="E94:G94"/>
    <mergeCell ref="J79:K79"/>
  </mergeCells>
  <phoneticPr fontId="47" type="noConversion"/>
  <dataValidations xWindow="1603" yWindow="321" count="3">
    <dataValidation allowBlank="1" showErrorMessage="1" errorTitle="Goals scored" error="Enter whole number only up to 20" promptTitle="Goals scored" prompt="Whole numbers only" sqref="G64:H64" xr:uid="{00000000-0002-0000-0C00-000001000000}"/>
    <dataValidation allowBlank="1" showInputMessage="1" showErrorMessage="1" promptTitle="Select Time Zone" prompt="Select Tournament Time Zone" sqref="M5:O5" xr:uid="{00000000-0002-0000-0C00-000003000000}"/>
    <dataValidation showDropDown="1" showInputMessage="1" showErrorMessage="1" sqref="L85 L81 I81 I85 I88 L88" xr:uid="{00000000-0002-0000-0C00-000000000000}"/>
  </dataValidations>
  <hyperlinks>
    <hyperlink ref="S24" r:id="rId1" display="FIFA Lots" xr:uid="{00000000-0004-0000-0C00-000000000000}"/>
    <hyperlink ref="B2:J5" r:id="rId2" tooltip="Our soccerwallcharts.com home page" display="2014 FIFA World Cup Brazil Wallchart" xr:uid="{00000000-0004-0000-0C00-000001000000}"/>
    <hyperlink ref="C8:G8" r:id="rId3" tooltip="Click to goto eufy website" display="eufy smart appliances and security products" xr:uid="{BF988B32-8A9E-4169-8D11-5D8C96B3FD35}"/>
    <hyperlink ref="C9:G9" r:id="rId4" tooltip="Click to go to eufy website" display="Buy a video doorbell with no monthly fees" xr:uid="{41F258A4-8ADE-4D6A-A2E9-622A9BE3EF7D}"/>
    <hyperlink ref="C10:G10" r:id="rId5" tooltip="Click to go to eufy website" display="Click to get an extra £40 off any eufy robotic vacuum or security product" xr:uid="{9D6FB2E0-451D-4AAF-8898-3484B39E17E9}"/>
  </hyperlinks>
  <pageMargins left="0.25" right="0.25" top="0.75" bottom="0.75" header="0.3" footer="0.3"/>
  <pageSetup paperSize="9" scale="53" orientation="portrait" horizontalDpi="360" verticalDpi="360" r:id="rId6"/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3" id="{D8264489-BD88-4EF4-832E-077CDDF2CA67}">
            <xm:f>IF(Config!#REF!=TRUE,IF(G74=H74,TRUE,FALSE),FALSE)</xm:f>
            <x14:dxf>
              <fill>
                <patternFill>
                  <bgColor rgb="FFFFFF00"/>
                </patternFill>
              </fill>
            </x14:dxf>
          </x14:cfRule>
          <xm:sqref>I74</xm:sqref>
        </x14:conditionalFormatting>
        <x14:conditionalFormatting xmlns:xm="http://schemas.microsoft.com/office/excel/2006/main">
          <x14:cfRule type="expression" priority="154" id="{63BA90E0-8EAF-47DE-A60E-227C2BA20CBD}">
            <xm:f>IF(Config!#REF!=TRUE,IF(F66=G66,TRUE,FALSE),FALSE)</xm:f>
            <x14:dxf>
              <fill>
                <patternFill>
                  <bgColor rgb="FFFFFF00"/>
                </patternFill>
              </fill>
            </x14:dxf>
          </x14:cfRule>
          <xm:sqref>J74 I66:I73</xm:sqref>
        </x14:conditionalFormatting>
        <x14:conditionalFormatting xmlns:xm="http://schemas.microsoft.com/office/excel/2006/main">
          <x14:cfRule type="expression" priority="4" id="{54B4F75C-6230-42B3-A507-0A15F2E94BED}">
            <xm:f>IF(Config!#REF!=TRUE,IF(F82=G82,TRUE,FALSE),FALSE)</xm:f>
            <x14:dxf>
              <fill>
                <patternFill>
                  <bgColor rgb="FFFFFF00"/>
                </patternFill>
              </fill>
            </x14:dxf>
          </x14:cfRule>
          <xm:sqref>I82</xm:sqref>
        </x14:conditionalFormatting>
        <x14:conditionalFormatting xmlns:xm="http://schemas.microsoft.com/office/excel/2006/main">
          <x14:cfRule type="expression" priority="14" id="{D4865116-C857-4B3F-B0A7-E40AC6C4EE7B}">
            <xm:f>IF(Config!#REF!=TRUE,IF(G80=H80,TRUE,FALSE),FALSE)</xm:f>
            <x14:dxf>
              <fill>
                <patternFill>
                  <bgColor rgb="FFFFFF00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expression" priority="15" id="{42A59FCC-EA6D-4835-906F-06D1FA973B31}">
            <xm:f>IF(Config!#REF!=TRUE,IF(G80=H80,TRUE,FALSE),FALSE)</xm:f>
            <x14:dxf>
              <fill>
                <patternFill>
                  <bgColor rgb="FFFFFF00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expression" priority="12" id="{CFD6E1FC-4084-4AEE-BC04-74708976A876}">
            <xm:f>IF(Config!#REF!=TRUE,IF(G84=H84,TRUE,FALSE),FALSE)</xm:f>
            <x14:dxf>
              <fill>
                <patternFill>
                  <bgColor rgb="FFFFFF00"/>
                </patternFill>
              </fill>
            </x14:dxf>
          </x14:cfRule>
          <xm:sqref>I84</xm:sqref>
        </x14:conditionalFormatting>
        <x14:conditionalFormatting xmlns:xm="http://schemas.microsoft.com/office/excel/2006/main">
          <x14:cfRule type="expression" priority="13" id="{246DA743-1C80-4128-97BE-F2CB39F6DE37}">
            <xm:f>IF(Config!#REF!=TRUE,IF(G84=H84,TRUE,FALSE),FALSE)</xm:f>
            <x14:dxf>
              <fill>
                <patternFill>
                  <bgColor rgb="FFFFFF00"/>
                </patternFill>
              </fill>
            </x14:dxf>
          </x14:cfRule>
          <xm:sqref>J84</xm:sqref>
        </x14:conditionalFormatting>
        <x14:conditionalFormatting xmlns:xm="http://schemas.microsoft.com/office/excel/2006/main">
          <x14:cfRule type="expression" priority="10" id="{35925B84-8CCB-497A-A8BF-41BCC7B8E1F1}">
            <xm:f>IF(Config!#REF!=TRUE,IF(G87=H87,TRUE,FALSE),FALSE)</xm:f>
            <x14:dxf>
              <fill>
                <patternFill>
                  <bgColor rgb="FFFFFF00"/>
                </patternFill>
              </fill>
            </x14:dxf>
          </x14:cfRule>
          <xm:sqref>I87</xm:sqref>
        </x14:conditionalFormatting>
        <x14:conditionalFormatting xmlns:xm="http://schemas.microsoft.com/office/excel/2006/main">
          <x14:cfRule type="expression" priority="11" id="{E26879E2-3316-4DD8-8C4E-5CA4A8702627}">
            <xm:f>IF(Config!#REF!=TRUE,IF(G87=H87,TRUE,FALSE),FALSE)</xm:f>
            <x14:dxf>
              <fill>
                <patternFill>
                  <bgColor rgb="FFFFFF00"/>
                </patternFill>
              </fill>
            </x14:dxf>
          </x14:cfRule>
          <xm:sqref>J87</xm:sqref>
        </x14:conditionalFormatting>
        <x14:conditionalFormatting xmlns:xm="http://schemas.microsoft.com/office/excel/2006/main">
          <x14:cfRule type="expression" priority="5" id="{A22D0EB7-6324-4181-9651-945DBBB7B32E}">
            <xm:f>IF(Config!#REF!=TRUE,IF(F77=G77,TRUE,FALSE),FALSE)</xm:f>
            <x14:dxf>
              <fill>
                <patternFill>
                  <bgColor rgb="FFFFFF00"/>
                </patternFill>
              </fill>
            </x14:dxf>
          </x14:cfRule>
          <xm:sqref>I77:I79</xm:sqref>
        </x14:conditionalFormatting>
        <x14:conditionalFormatting xmlns:xm="http://schemas.microsoft.com/office/excel/2006/main">
          <x14:cfRule type="expression" priority="6" id="{D00C41B5-AB5A-4BBB-BA61-3BC6F75C8C98}">
            <xm:f>IF(Config!#REF!=TRUE,IF(F76=G76,TRUE,FALSE),FALSE)</xm:f>
            <x14:dxf>
              <fill>
                <patternFill>
                  <bgColor rgb="FFFFFF00"/>
                </patternFill>
              </fill>
            </x14:dxf>
          </x14:cfRule>
          <xm:sqref>I76</xm:sqref>
        </x14:conditionalFormatting>
        <x14:conditionalFormatting xmlns:xm="http://schemas.microsoft.com/office/excel/2006/main">
          <x14:cfRule type="expression" priority="3" id="{6EC8C6F5-E668-485E-A71D-05648F95D126}">
            <xm:f>IF(Config!#REF!=TRUE,IF(F83=G83,TRUE,FALSE),FALSE)</xm:f>
            <x14:dxf>
              <fill>
                <patternFill>
                  <bgColor rgb="FFFFFF00"/>
                </patternFill>
              </fill>
            </x14:dxf>
          </x14:cfRule>
          <xm:sqref>I83</xm:sqref>
        </x14:conditionalFormatting>
        <x14:conditionalFormatting xmlns:xm="http://schemas.microsoft.com/office/excel/2006/main">
          <x14:cfRule type="expression" priority="2" id="{07340FE5-00AA-42FC-AB48-A0072DE22C66}">
            <xm:f>IF(Config!#REF!=TRUE,IF(F86=G86,TRUE,FALSE),FALSE)</xm:f>
            <x14:dxf>
              <fill>
                <patternFill>
                  <bgColor rgb="FFFFFF00"/>
                </patternFill>
              </fill>
            </x14:dxf>
          </x14:cfRule>
          <xm:sqref>I86</xm:sqref>
        </x14:conditionalFormatting>
        <x14:conditionalFormatting xmlns:xm="http://schemas.microsoft.com/office/excel/2006/main">
          <x14:cfRule type="expression" priority="1" id="{7016FD9B-C6AD-4E03-83AC-12792E356D9D}">
            <xm:f>IF(Config!#REF!=TRUE,IF(F89=G89,TRUE,FALSE),FALSE)</xm:f>
            <x14:dxf>
              <fill>
                <patternFill>
                  <bgColor rgb="FFFFFF00"/>
                </patternFill>
              </fill>
            </x14:dxf>
          </x14:cfRule>
          <xm:sqref>I89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603" yWindow="321" count="12">
        <x14:dataValidation type="list" allowBlank="1" showInputMessage="1" showErrorMessage="1" promptTitle="Your time zone" prompt="Select your time zone" xr:uid="{00000000-0002-0000-0C00-000002000000}">
          <x14:formula1>
            <xm:f>Config!$D$2:$D$28</xm:f>
          </x14:formula1>
          <xm:sqref>P3</xm:sqref>
        </x14:dataValidation>
        <x14:dataValidation type="list" allowBlank="1" showInputMessage="1" showErrorMessage="1" promptTitle="FIFA Fair Play Help" prompt="Here you will be able to manually select each team's league position in line with FIFA Fair Play rules if teams are level at the end of the group stage. _x000a_(To move this message hold the mouse button down over this box and move it)" xr:uid="{00000000-0002-0000-0C00-000004000000}">
          <x14:formula1>
            <xm:f>GrpA!$X$26:$X$29</xm:f>
          </x14:formula1>
          <xm:sqref>S25:S28</xm:sqref>
        </x14:dataValidation>
        <x14:dataValidation type="list" allowBlank="1" showInputMessage="1" showErrorMessage="1" xr:uid="{00000000-0002-0000-0C00-000005000000}">
          <x14:formula1>
            <xm:f>GrpB!$X$26:$X$29</xm:f>
          </x14:formula1>
          <xm:sqref>S31:S34</xm:sqref>
        </x14:dataValidation>
        <x14:dataValidation type="list" allowBlank="1" showInputMessage="1" showErrorMessage="1" xr:uid="{00000000-0002-0000-0C00-000006000000}">
          <x14:formula1>
            <xm:f>GrpC!$X$26:$X$29</xm:f>
          </x14:formula1>
          <xm:sqref>S37:S40</xm:sqref>
        </x14:dataValidation>
        <x14:dataValidation type="list" allowBlank="1" showInputMessage="1" showErrorMessage="1" xr:uid="{00000000-0002-0000-0C00-000007000000}">
          <x14:formula1>
            <xm:f>GrpD!$X$26:$X$29</xm:f>
          </x14:formula1>
          <xm:sqref>S43:S46</xm:sqref>
        </x14:dataValidation>
        <x14:dataValidation type="list" allowBlank="1" showInputMessage="1" showErrorMessage="1" xr:uid="{00000000-0002-0000-0C00-000008000000}">
          <x14:formula1>
            <xm:f>GrpE!$X$26:$X$29</xm:f>
          </x14:formula1>
          <xm:sqref>S49:S52</xm:sqref>
        </x14:dataValidation>
        <x14:dataValidation type="list" allowBlank="1" showInputMessage="1" showErrorMessage="1" xr:uid="{00000000-0002-0000-0C00-000009000000}">
          <x14:formula1>
            <xm:f>GrpF!$X$26:$X$29</xm:f>
          </x14:formula1>
          <xm:sqref>S55:S58</xm:sqref>
        </x14:dataValidation>
        <x14:dataValidation type="list" allowBlank="1" showInputMessage="1" showErrorMessage="1" xr:uid="{00000000-0002-0000-0C00-00000A000000}">
          <x14:formula1>
            <xm:f>GrpG!$X$26:$X$29</xm:f>
          </x14:formula1>
          <xm:sqref>S61:S64</xm:sqref>
        </x14:dataValidation>
        <x14:dataValidation type="list" allowBlank="1" showInputMessage="1" showErrorMessage="1" xr:uid="{00000000-0002-0000-0C00-00000B000000}">
          <x14:formula1>
            <xm:f>GrpH!$X$26:$X$29</xm:f>
          </x14:formula1>
          <xm:sqref>S67:S70</xm:sqref>
        </x14:dataValidation>
        <x14:dataValidation type="list" allowBlank="1" showErrorMessage="1" errorTitle="Goals scored" error="Enter whole number only up to 20" promptTitle="Goals scored" prompt="Whole numbers only" xr:uid="{00000000-0002-0000-0C00-00000C000000}">
          <x14:formula1>
            <xm:f>Config!$F$31:$F$51</xm:f>
          </x14:formula1>
          <xm:sqref>F89:G89 F76:G79 F86:G86 F82:G83 J67:J68 F66:G73 J68:K73 L68:L73 F16:G18 F19:G63</xm:sqref>
        </x14:dataValidation>
        <x14:dataValidation type="list" allowBlank="1" showInputMessage="1" showErrorMessage="1" xr:uid="{00000000-0002-0000-0C00-00000D000000}">
          <x14:formula1>
            <xm:f>Config!$F$31:$F$51</xm:f>
          </x14:formula1>
          <xm:sqref>I66:I73 I89:L89 I86:L86 I76:L79 I82:L83 J66:K66 L67</xm:sqref>
        </x14:dataValidation>
        <x14:dataValidation type="list" allowBlank="1" showInputMessage="1" showErrorMessage="1" xr:uid="{00000000-0002-0000-0C00-00000E000000}">
          <x14:formula1>
            <xm:f>languages!$B$81:$B$87</xm:f>
          </x14:formula1>
          <xm:sqref>P4:S4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X53"/>
  <sheetViews>
    <sheetView topLeftCell="D1" workbookViewId="0">
      <selection activeCell="F32" sqref="F32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Config!C2</f>
        <v>Qatar</v>
      </c>
      <c r="C1" s="16" t="str">
        <f>Config!C3</f>
        <v>Ecuador</v>
      </c>
      <c r="D1" s="16" t="str">
        <f>Config!C4</f>
        <v>Senegal</v>
      </c>
      <c r="E1" s="16" t="str">
        <f>Config!C5</f>
        <v>Netherlands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Qatar</v>
      </c>
      <c r="C3" t="s">
        <v>127</v>
      </c>
      <c r="D3" t="str">
        <f>C1</f>
        <v>Ecuador</v>
      </c>
      <c r="E3" s="16">
        <f>Wallchart!F16</f>
        <v>0</v>
      </c>
      <c r="F3" s="16">
        <f>Wallchart!G16</f>
        <v>0</v>
      </c>
      <c r="G3" s="16">
        <f>IF(ISBLANK(Wallchart!F16)=TRUE,0,IF(E3&lt;F3,0,IF(E3&gt;F3,3,1)))</f>
        <v>0</v>
      </c>
      <c r="H3" s="16">
        <f>IF(ISBLANK(Wallchart!G16)=TRUE,0,IF(F3&lt;E3,0,IF(F3&gt;E3,3,1)))</f>
        <v>0</v>
      </c>
      <c r="I3" s="16">
        <f>IF(ISBLANK(Wallchart!F16)=TRUE,0,IF(ISBLANK(Wallchart!G16)=TRUE,0,1))</f>
        <v>0</v>
      </c>
      <c r="K3" t="str">
        <f>B1</f>
        <v>Qatar</v>
      </c>
      <c r="L3" t="str">
        <f>C1</f>
        <v>Ecuador</v>
      </c>
      <c r="M3" t="str">
        <f>D1</f>
        <v>Senegal</v>
      </c>
      <c r="N3" t="str">
        <f>E1</f>
        <v>Netherlands</v>
      </c>
      <c r="P3" s="5" t="str">
        <f>B1</f>
        <v>Qatar</v>
      </c>
      <c r="Q3" s="5" t="str">
        <f>C1</f>
        <v>Ecuador</v>
      </c>
      <c r="R3" s="5" t="str">
        <f>D1</f>
        <v>Senegal</v>
      </c>
      <c r="S3" s="5" t="str">
        <f>E1</f>
        <v>Netherlands</v>
      </c>
      <c r="T3" s="5" t="s">
        <v>128</v>
      </c>
    </row>
    <row r="4" spans="1:20" x14ac:dyDescent="0.25">
      <c r="A4">
        <v>2</v>
      </c>
      <c r="B4" t="str">
        <f>D1</f>
        <v>Senegal</v>
      </c>
      <c r="C4" t="s">
        <v>127</v>
      </c>
      <c r="D4" t="str">
        <f>E1</f>
        <v>Netherlands</v>
      </c>
      <c r="E4" s="16">
        <f>Wallchart!F17</f>
        <v>0</v>
      </c>
      <c r="F4" s="16">
        <f>Wallchart!G17</f>
        <v>0</v>
      </c>
      <c r="G4" s="16">
        <f>IF(ISBLANK(Wallchart!F17)=TRUE,0,IF(E4&lt;F4,0,IF(E4&gt;F4,3,1)))</f>
        <v>0</v>
      </c>
      <c r="H4" s="16">
        <f>IF(ISBLANK(Wallchart!G17)=TRUE,0,IF(F4&lt;E4,0,IF(F4&gt;E4,3,1)))</f>
        <v>0</v>
      </c>
      <c r="I4" s="16">
        <f>IF(ISBLANK(Wallchart!F17)=TRUE,0,IF(ISBLANK(Wallchart!G17)=TRUE,0,1))</f>
        <v>0</v>
      </c>
      <c r="J4" t="str">
        <f>B1</f>
        <v>Qatar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Qatar</v>
      </c>
      <c r="C5" t="s">
        <v>127</v>
      </c>
      <c r="D5" t="str">
        <f>D1</f>
        <v>Senegal</v>
      </c>
      <c r="E5" s="16">
        <f>Wallchart!F33</f>
        <v>0</v>
      </c>
      <c r="F5" s="16">
        <f>Wallchart!G33</f>
        <v>0</v>
      </c>
      <c r="G5" s="16">
        <f>IF(ISBLANK(Wallchart!F33)=TRUE,0,IF(E5&lt;F5,0,IF(E5&gt;F5,3,1)))</f>
        <v>0</v>
      </c>
      <c r="H5" s="16">
        <f>IF(ISBLANK(Wallchart!G33)=TRUE,0,IF(F5&lt;E5,0,IF(F5&gt;E5,3,1)))</f>
        <v>0</v>
      </c>
      <c r="I5" s="16">
        <f>IF(ISBLANK(Wallchart!F33)=TRUE,0,IF(ISBLANK(Wallchart!G33)=TRUE,0,1))</f>
        <v>0</v>
      </c>
      <c r="J5" t="str">
        <f>C1</f>
        <v>Ecuador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Ecuador</v>
      </c>
      <c r="C6" t="s">
        <v>127</v>
      </c>
      <c r="D6" t="str">
        <f>E1</f>
        <v>Netherlands</v>
      </c>
      <c r="E6" s="16">
        <f>Wallchart!G34</f>
        <v>0</v>
      </c>
      <c r="F6" s="16">
        <f>Wallchart!F34</f>
        <v>0</v>
      </c>
      <c r="G6" s="16">
        <f>IF(ISBLANK(Wallchart!G34)=TRUE,0,IF(E6&lt;F6,0,IF(E6&gt;F6,3,1)))</f>
        <v>0</v>
      </c>
      <c r="H6" s="16">
        <f>IF(ISBLANK(Wallchart!F34)=TRUE,0,IF(F6&lt;E6,0,IF(F6&gt;E6,3,1)))</f>
        <v>0</v>
      </c>
      <c r="I6" s="16">
        <f>IF(ISBLANK(Wallchart!F34)=TRUE,0,IF(ISBLANK(Wallchart!G34)=TRUE,0,1))</f>
        <v>0</v>
      </c>
      <c r="J6" t="str">
        <f>D1</f>
        <v>Senegal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Netherlands</v>
      </c>
      <c r="C7" t="s">
        <v>127</v>
      </c>
      <c r="D7" t="str">
        <f>B1</f>
        <v>Qatar</v>
      </c>
      <c r="E7" s="16">
        <f>Wallchart!F48</f>
        <v>0</v>
      </c>
      <c r="F7" s="16">
        <f>Wallchart!G48</f>
        <v>0</v>
      </c>
      <c r="G7" s="16">
        <f>IF(ISBLANK(Wallchart!F48)=TRUE,0,IF(E7&lt;F7,0,IF(E7&gt;F7,3,1)))</f>
        <v>0</v>
      </c>
      <c r="H7" s="16">
        <f>IF(ISBLANK(Wallchart!G48)=TRUE,0,IF(F7&lt;E7,0,IF(F7&gt;E7,3,1)))</f>
        <v>0</v>
      </c>
      <c r="I7" s="16">
        <f>IF(ISBLANK(Wallchart!F48)=TRUE,0,IF(ISBLANK(Wallchart!G48)=TRUE,0,1))</f>
        <v>0</v>
      </c>
      <c r="J7" t="str">
        <f>E1</f>
        <v>Netherlands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Senegal</v>
      </c>
      <c r="C8" t="s">
        <v>127</v>
      </c>
      <c r="D8" t="str">
        <f>C1</f>
        <v>Ecuador</v>
      </c>
      <c r="E8" s="16">
        <f>Wallchart!G49</f>
        <v>0</v>
      </c>
      <c r="F8" s="16">
        <f>Wallchart!F49</f>
        <v>0</v>
      </c>
      <c r="G8" s="16">
        <f>IF(ISBLANK(Wallchart!G49)=TRUE,0,IF(E8&lt;F8,0,IF(E8&gt;F8,3,1)))</f>
        <v>0</v>
      </c>
      <c r="H8" s="16">
        <f>IF(ISBLANK(Wallchart!F49)=TRUE,0,IF(F8&lt;E8,0,IF(F8&gt;E8,3,1)))</f>
        <v>0</v>
      </c>
      <c r="I8" s="16">
        <f>IF(ISBLANK(Wallchart!F49)=TRUE,0,IF(ISBLANK(Wallchart!G49)=TRUE,0,1))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Qatar</v>
      </c>
      <c r="L10" t="str">
        <f>C1</f>
        <v>Ecuador</v>
      </c>
      <c r="M10" t="str">
        <f>D1</f>
        <v>Senegal</v>
      </c>
      <c r="N10" t="str">
        <f>E1</f>
        <v>Netherlands</v>
      </c>
      <c r="P10" s="5" t="str">
        <f>B1</f>
        <v>Qatar</v>
      </c>
      <c r="Q10" s="5" t="str">
        <f>C1</f>
        <v>Ecuador</v>
      </c>
      <c r="R10" s="5" t="str">
        <f>D1</f>
        <v>Senegal</v>
      </c>
      <c r="S10" s="5" t="str">
        <f>E1</f>
        <v>Netherlands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Qatar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Qatar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IF(Wallchart!S25="","a",Wallchart!S25)</f>
        <v>a</v>
      </c>
      <c r="J12" t="str">
        <f>C1</f>
        <v>Ecuador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Ecuador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IF(Wallchart!S26="","b",Wallchart!S26)</f>
        <v>b</v>
      </c>
      <c r="J13" t="str">
        <f>D1</f>
        <v>Senegal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Senegal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IF(Wallchart!S27="","c",Wallchart!S27)</f>
        <v>c</v>
      </c>
      <c r="J14" t="str">
        <f>E1</f>
        <v>Netherlands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Netherlands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IF(Wallchart!S28="","d",Wallchart!S28)</f>
        <v>d</v>
      </c>
    </row>
    <row r="16" spans="1:20" ht="15.75" thickBot="1" x14ac:dyDescent="0.3">
      <c r="I16" s="20" t="str">
        <f>IF(SUM(I3:I8)=6,IF(GrpA!W28&gt;0,IF(I12=I13,"Duplicate",IF(I12=I14,"Duplicate",IF(I12=I15,"Duplicate",IF(I13=I14,"Duplicate",IF(I13=I15,"Duplcate",IF(I14=I15,"Duplicate","")))))),""),"")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Qatar</v>
      </c>
      <c r="L17" t="str">
        <f>C1</f>
        <v>Ecuador</v>
      </c>
      <c r="M17" t="str">
        <f>D1</f>
        <v>Senegal</v>
      </c>
      <c r="N17" t="str">
        <f>E1</f>
        <v>Netherlands</v>
      </c>
      <c r="P17" s="5" t="str">
        <f>B1</f>
        <v>Qatar</v>
      </c>
      <c r="Q17" s="5" t="str">
        <f>C1</f>
        <v>Ecuador</v>
      </c>
      <c r="R17" s="5" t="str">
        <f>D1</f>
        <v>Senegal</v>
      </c>
      <c r="S17" s="5" t="str">
        <f>E1</f>
        <v>Netherlands</v>
      </c>
      <c r="T17" s="5" t="s">
        <v>128</v>
      </c>
    </row>
    <row r="18" spans="1:24" x14ac:dyDescent="0.25">
      <c r="J18" t="str">
        <f>B1</f>
        <v>Qatar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Ecuador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Senegal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Netherlands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Qatar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IF(W28&gt;0,IF(A26=GrpA!I12,0.00000004,IF(A26=GrpA!I13,0.00000003,IF(A26=GrpA!I14,0.00000002,0.00000001))),0)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Ecuador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IF(W28&gt;0,IF(A27=GrpA!I12,0.00000004,IF(A27=GrpA!I13,0.00000003,IF(A27=GrpA!I14,0.00000002,0.00000001))),0)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Senegal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IF(W28&gt;0,IF(A28=GrpA!I12,0.00000004,IF(A28=GrpA!I13,0.00000003,IF(A28=GrpA!I14,0.00000002,0.00000001))),0)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Netherlands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IF(W28&gt;0,IF(A29=GrpA!I12,0.00000004,IF(A29=GrpA!I13,0.00000003,IF(A29=GrpA!I14,0.00000002,0.00000001))),0)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  <row r="32" spans="1:24" s="57" customFormat="1" ht="363.6" customHeight="1" x14ac:dyDescent="0.25">
      <c r="F32" s="58" t="s">
        <v>248</v>
      </c>
      <c r="G32" s="58" t="s">
        <v>249</v>
      </c>
      <c r="H32" s="58"/>
      <c r="I32" s="58" t="s">
        <v>250</v>
      </c>
      <c r="J32" s="58"/>
      <c r="K32" s="58" t="s">
        <v>253</v>
      </c>
      <c r="L32" s="58"/>
      <c r="M32" s="58" t="s">
        <v>254</v>
      </c>
      <c r="N32" s="58"/>
      <c r="O32" s="58" t="s">
        <v>255</v>
      </c>
      <c r="Q32" s="58" t="s">
        <v>251</v>
      </c>
    </row>
    <row r="33" spans="6:24" ht="29.45" customHeight="1" x14ac:dyDescent="0.25">
      <c r="F33" s="257" t="s">
        <v>257</v>
      </c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</row>
    <row r="43" spans="6:24" x14ac:dyDescent="0.25">
      <c r="F43" s="56"/>
    </row>
    <row r="44" spans="6:24" x14ac:dyDescent="0.25">
      <c r="F44" s="56"/>
    </row>
    <row r="45" spans="6:24" x14ac:dyDescent="0.25">
      <c r="F45" s="56"/>
    </row>
    <row r="47" spans="6:24" x14ac:dyDescent="0.25">
      <c r="F47" s="56"/>
    </row>
    <row r="49" spans="6:6" x14ac:dyDescent="0.25">
      <c r="F49" s="56"/>
    </row>
    <row r="51" spans="6:6" x14ac:dyDescent="0.25">
      <c r="F51" s="56"/>
    </row>
    <row r="53" spans="6:6" x14ac:dyDescent="0.25">
      <c r="F53" s="56" t="s">
        <v>256</v>
      </c>
    </row>
  </sheetData>
  <mergeCells count="2">
    <mergeCell ref="K2:N2"/>
    <mergeCell ref="F33:X33"/>
  </mergeCells>
  <dataValidations disablePrompts="1" count="1">
    <dataValidation allowBlank="1" showErrorMessage="1" prompt="Used for Fifa lots if requried" sqref="I12:I15" xr:uid="{00000000-0002-0000-0700-000000000000}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A14"/>
  <sheetViews>
    <sheetView workbookViewId="0">
      <selection activeCell="E41" sqref="E41"/>
    </sheetView>
  </sheetViews>
  <sheetFormatPr defaultRowHeight="15" x14ac:dyDescent="0.25"/>
  <sheetData>
    <row r="1" spans="1:1" x14ac:dyDescent="0.25">
      <c r="A1" s="56" t="s">
        <v>281</v>
      </c>
    </row>
    <row r="2" spans="1:1" x14ac:dyDescent="0.25">
      <c r="A2" s="56" t="s">
        <v>248</v>
      </c>
    </row>
    <row r="3" spans="1:1" x14ac:dyDescent="0.25">
      <c r="A3" s="56" t="s">
        <v>249</v>
      </c>
    </row>
    <row r="4" spans="1:1" x14ac:dyDescent="0.25">
      <c r="A4" s="56" t="s">
        <v>250</v>
      </c>
    </row>
    <row r="5" spans="1:1" x14ac:dyDescent="0.25">
      <c r="A5" s="56" t="s">
        <v>277</v>
      </c>
    </row>
    <row r="6" spans="1:1" x14ac:dyDescent="0.25">
      <c r="A6" s="56" t="s">
        <v>279</v>
      </c>
    </row>
    <row r="7" spans="1:1" x14ac:dyDescent="0.25">
      <c r="A7" s="56" t="s">
        <v>254</v>
      </c>
    </row>
    <row r="8" spans="1:1" x14ac:dyDescent="0.25">
      <c r="A8" s="56" t="s">
        <v>278</v>
      </c>
    </row>
    <row r="9" spans="1:1" x14ac:dyDescent="0.25">
      <c r="A9" s="56" t="s">
        <v>270</v>
      </c>
    </row>
    <row r="10" spans="1:1" x14ac:dyDescent="0.25">
      <c r="A10" s="56" t="s">
        <v>269</v>
      </c>
    </row>
    <row r="11" spans="1:1" x14ac:dyDescent="0.25">
      <c r="A11" s="130" t="s">
        <v>280</v>
      </c>
    </row>
    <row r="12" spans="1:1" x14ac:dyDescent="0.25">
      <c r="A12" s="56" t="s">
        <v>268</v>
      </c>
    </row>
    <row r="13" spans="1:1" x14ac:dyDescent="0.25">
      <c r="A13" s="56"/>
    </row>
    <row r="14" spans="1:1" x14ac:dyDescent="0.25">
      <c r="A14" s="5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/>
  <dimension ref="A1:U211"/>
  <sheetViews>
    <sheetView topLeftCell="A35" workbookViewId="0">
      <selection activeCell="F65" sqref="F65"/>
    </sheetView>
  </sheetViews>
  <sheetFormatPr defaultRowHeight="15" x14ac:dyDescent="0.25"/>
  <cols>
    <col min="1" max="1" width="4.28515625" bestFit="1" customWidth="1"/>
    <col min="2" max="2" width="8.7109375" bestFit="1" customWidth="1"/>
    <col min="3" max="3" width="15.5703125" bestFit="1" customWidth="1"/>
    <col min="4" max="4" width="6.5703125" bestFit="1" customWidth="1"/>
    <col min="5" max="5" width="10" bestFit="1" customWidth="1"/>
    <col min="6" max="6" width="11.7109375" bestFit="1" customWidth="1"/>
    <col min="7" max="7" width="19" bestFit="1" customWidth="1"/>
    <col min="8" max="8" width="23" bestFit="1" customWidth="1"/>
    <col min="9" max="9" width="9.140625" bestFit="1" customWidth="1"/>
    <col min="10" max="10" width="18.5703125" bestFit="1" customWidth="1"/>
    <col min="11" max="11" width="23" bestFit="1" customWidth="1"/>
    <col min="12" max="12" width="28.28515625" bestFit="1" customWidth="1"/>
    <col min="13" max="13" width="14.42578125" bestFit="1" customWidth="1"/>
    <col min="14" max="15" width="5.5703125" bestFit="1" customWidth="1"/>
    <col min="18" max="18" width="35.7109375" bestFit="1" customWidth="1"/>
    <col min="19" max="19" width="9.28515625" bestFit="1" customWidth="1"/>
  </cols>
  <sheetData>
    <row r="1" spans="1:21" x14ac:dyDescent="0.25">
      <c r="A1" s="3" t="s">
        <v>39</v>
      </c>
      <c r="B1" s="3" t="s">
        <v>114</v>
      </c>
      <c r="C1" s="3" t="s">
        <v>40</v>
      </c>
      <c r="D1" s="3" t="s">
        <v>124</v>
      </c>
      <c r="E1" s="3" t="s">
        <v>41</v>
      </c>
      <c r="F1" s="3" t="s">
        <v>829</v>
      </c>
      <c r="G1" s="3" t="s">
        <v>75</v>
      </c>
      <c r="H1" s="3" t="s">
        <v>42</v>
      </c>
      <c r="I1" s="3" t="s">
        <v>43</v>
      </c>
      <c r="J1" s="3" t="s">
        <v>76</v>
      </c>
      <c r="K1" s="3" t="s">
        <v>44</v>
      </c>
      <c r="L1" s="3" t="s">
        <v>45</v>
      </c>
      <c r="M1" s="3" t="s">
        <v>46</v>
      </c>
      <c r="N1" s="3" t="s">
        <v>120</v>
      </c>
      <c r="O1" s="3" t="s">
        <v>121</v>
      </c>
      <c r="P1" s="3" t="s">
        <v>241</v>
      </c>
      <c r="Q1" s="3"/>
      <c r="R1" s="45" t="s">
        <v>244</v>
      </c>
      <c r="S1" s="46" t="s">
        <v>243</v>
      </c>
    </row>
    <row r="2" spans="1:21" x14ac:dyDescent="0.25">
      <c r="A2">
        <v>4</v>
      </c>
      <c r="B2" t="s">
        <v>40</v>
      </c>
      <c r="C2" s="18" t="s">
        <v>32</v>
      </c>
      <c r="D2" s="42">
        <f>E2</f>
        <v>44885</v>
      </c>
      <c r="E2" s="43">
        <v>44885</v>
      </c>
      <c r="F2" s="44">
        <v>0.79166666666666663</v>
      </c>
      <c r="G2" s="18" t="s">
        <v>47</v>
      </c>
      <c r="H2" s="18" t="str">
        <f>VLOOKUP(G2,Config!$B$2:$C$33,2)</f>
        <v>Qatar</v>
      </c>
      <c r="I2" s="18" t="str">
        <f>CONCATENATE(VLOOKUP("Match",languages!B$75:I$75,VLOOKUP(Wallchart!P$4,languages!B$81:C$87,2))," ",U2)</f>
        <v xml:space="preserve">Match 1 </v>
      </c>
      <c r="J2" s="18" t="s">
        <v>0</v>
      </c>
      <c r="K2" s="18" t="str">
        <f>VLOOKUP(J2,Config!$B$2:$C$33,2)</f>
        <v>Ecuador</v>
      </c>
      <c r="L2" s="18" t="s">
        <v>730</v>
      </c>
      <c r="M2">
        <v>1</v>
      </c>
      <c r="N2" s="2">
        <f>F2+P2/24</f>
        <v>0.66666666666666663</v>
      </c>
      <c r="O2" s="2">
        <f>N2+1/24</f>
        <v>0.70833333333333326</v>
      </c>
      <c r="P2">
        <v>-3</v>
      </c>
      <c r="R2" s="47" t="s">
        <v>732</v>
      </c>
      <c r="S2" s="48">
        <v>3</v>
      </c>
      <c r="U2" t="s">
        <v>638</v>
      </c>
    </row>
    <row r="3" spans="1:21" x14ac:dyDescent="0.25">
      <c r="A3">
        <v>2</v>
      </c>
      <c r="B3" t="s">
        <v>40</v>
      </c>
      <c r="C3" t="s">
        <v>32</v>
      </c>
      <c r="D3" s="4">
        <f t="shared" ref="D3:D65" si="0">E3</f>
        <v>44886</v>
      </c>
      <c r="E3" s="1">
        <v>44886</v>
      </c>
      <c r="F3" s="2">
        <v>0.79166666666666663</v>
      </c>
      <c r="G3" t="s">
        <v>1</v>
      </c>
      <c r="H3" t="str">
        <f>VLOOKUP(G3,Config!$B$2:$C$33,2)</f>
        <v>Senegal</v>
      </c>
      <c r="I3" s="18" t="str">
        <f>CONCATENATE(VLOOKUP("Match",languages!B$75:I$75,VLOOKUP(Wallchart!P$4,languages!B$81:C$87,2))," ",U3)</f>
        <v xml:space="preserve">Match 2 </v>
      </c>
      <c r="J3" t="s">
        <v>2</v>
      </c>
      <c r="K3" t="str">
        <f>VLOOKUP(J3,Config!$B$2:$C$33,2)</f>
        <v>Netherlands</v>
      </c>
      <c r="L3" t="s">
        <v>737</v>
      </c>
      <c r="M3">
        <v>2</v>
      </c>
      <c r="N3" s="2">
        <f t="shared" ref="N3:N65" si="1">F3+P3/24</f>
        <v>0.66666666666666663</v>
      </c>
      <c r="O3" s="2">
        <f t="shared" ref="O3:O65" si="2">N3+1/24</f>
        <v>0.70833333333333326</v>
      </c>
      <c r="P3">
        <v>-3</v>
      </c>
      <c r="R3" s="47" t="s">
        <v>730</v>
      </c>
      <c r="S3" s="48">
        <v>3</v>
      </c>
      <c r="U3" t="s">
        <v>639</v>
      </c>
    </row>
    <row r="4" spans="1:21" x14ac:dyDescent="0.25">
      <c r="A4">
        <v>3</v>
      </c>
      <c r="B4" t="s">
        <v>40</v>
      </c>
      <c r="C4" t="s">
        <v>31</v>
      </c>
      <c r="D4" s="4">
        <f t="shared" si="0"/>
        <v>44886</v>
      </c>
      <c r="E4" s="1">
        <f>E3</f>
        <v>44886</v>
      </c>
      <c r="F4" s="2">
        <v>0.66666666666666663</v>
      </c>
      <c r="G4" t="s">
        <v>3</v>
      </c>
      <c r="H4" t="str">
        <f>VLOOKUP(G4,Config!$B$2:$C$33,2)</f>
        <v>England</v>
      </c>
      <c r="I4" s="18" t="str">
        <f>CONCATENATE(VLOOKUP("Match",languages!B$75:I$75,VLOOKUP(Wallchart!P$4,languages!B$81:C$87,2))," ",U4)</f>
        <v xml:space="preserve">Match 3 </v>
      </c>
      <c r="J4" t="s">
        <v>4</v>
      </c>
      <c r="K4" t="str">
        <f>VLOOKUP(J4,Config!$B$2:$C$33,2)</f>
        <v>Iran</v>
      </c>
      <c r="L4" t="s">
        <v>731</v>
      </c>
      <c r="M4">
        <v>3</v>
      </c>
      <c r="N4" s="2">
        <f t="shared" si="1"/>
        <v>0.54166666666666663</v>
      </c>
      <c r="O4" s="2">
        <f t="shared" si="2"/>
        <v>0.58333333333333326</v>
      </c>
      <c r="P4">
        <v>-3</v>
      </c>
      <c r="R4" s="47" t="s">
        <v>734</v>
      </c>
      <c r="S4" s="48">
        <v>3</v>
      </c>
      <c r="U4" t="s">
        <v>640</v>
      </c>
    </row>
    <row r="5" spans="1:21" x14ac:dyDescent="0.25">
      <c r="A5">
        <v>5</v>
      </c>
      <c r="B5" t="s">
        <v>40</v>
      </c>
      <c r="C5" t="s">
        <v>31</v>
      </c>
      <c r="D5" s="4">
        <f t="shared" si="0"/>
        <v>44886</v>
      </c>
      <c r="E5" s="1">
        <f>E4</f>
        <v>44886</v>
      </c>
      <c r="F5" s="2">
        <v>0.91666666666666663</v>
      </c>
      <c r="G5" t="s">
        <v>5</v>
      </c>
      <c r="H5" t="str">
        <f>VLOOKUP(G5,Config!$B$2:$C$33,2)</f>
        <v>USA</v>
      </c>
      <c r="I5" s="18" t="str">
        <f>CONCATENATE(VLOOKUP("Match",languages!B$75:I$75,VLOOKUP(Wallchart!P$4,languages!B$81:C$87,2))," ",U5)</f>
        <v xml:space="preserve">Match 4 </v>
      </c>
      <c r="J5" t="s">
        <v>6</v>
      </c>
      <c r="K5" t="str">
        <f>VLOOKUP(J5,Config!$B$2:$C$33,2)</f>
        <v>Wales</v>
      </c>
      <c r="L5" t="s">
        <v>732</v>
      </c>
      <c r="M5">
        <v>4</v>
      </c>
      <c r="N5" s="2">
        <f t="shared" si="1"/>
        <v>0.79166666666666663</v>
      </c>
      <c r="O5" s="2">
        <f t="shared" si="2"/>
        <v>0.83333333333333326</v>
      </c>
      <c r="P5">
        <v>-3</v>
      </c>
      <c r="R5" s="47" t="s">
        <v>737</v>
      </c>
      <c r="S5" s="48">
        <v>3</v>
      </c>
      <c r="U5" t="s">
        <v>641</v>
      </c>
    </row>
    <row r="6" spans="1:21" x14ac:dyDescent="0.25">
      <c r="A6">
        <v>6</v>
      </c>
      <c r="B6" t="s">
        <v>40</v>
      </c>
      <c r="C6" t="s">
        <v>33</v>
      </c>
      <c r="D6" s="4">
        <f t="shared" si="0"/>
        <v>44887</v>
      </c>
      <c r="E6" s="1">
        <v>44887</v>
      </c>
      <c r="F6" s="2">
        <v>0.54166666666666663</v>
      </c>
      <c r="G6" t="s">
        <v>7</v>
      </c>
      <c r="H6" t="str">
        <f>VLOOKUP(G6,Config!$B$2:$C$33,2)</f>
        <v>Argentina</v>
      </c>
      <c r="I6" s="18" t="str">
        <f>CONCATENATE(VLOOKUP("Match",languages!B$75:I$75,VLOOKUP(Wallchart!P$4,languages!B$81:C$87,2))," ",U6)</f>
        <v xml:space="preserve">Match 5 </v>
      </c>
      <c r="J6" t="s">
        <v>8</v>
      </c>
      <c r="K6" t="str">
        <f>VLOOKUP(J6,Config!$B$2:$C$33,2)</f>
        <v>Saudi Arabia</v>
      </c>
      <c r="L6" t="s">
        <v>733</v>
      </c>
      <c r="M6">
        <v>5</v>
      </c>
      <c r="N6" s="2">
        <f t="shared" si="1"/>
        <v>0.41666666666666663</v>
      </c>
      <c r="O6" s="2">
        <f t="shared" si="2"/>
        <v>0.45833333333333331</v>
      </c>
      <c r="P6">
        <v>-3</v>
      </c>
      <c r="R6" s="47" t="s">
        <v>736</v>
      </c>
      <c r="S6" s="48">
        <v>3</v>
      </c>
      <c r="U6" t="s">
        <v>642</v>
      </c>
    </row>
    <row r="7" spans="1:21" x14ac:dyDescent="0.25">
      <c r="A7">
        <v>7</v>
      </c>
      <c r="B7" t="s">
        <v>40</v>
      </c>
      <c r="C7" t="s">
        <v>34</v>
      </c>
      <c r="D7" s="4">
        <f t="shared" si="0"/>
        <v>44887</v>
      </c>
      <c r="E7" s="1">
        <v>44887</v>
      </c>
      <c r="F7" s="2">
        <v>0.91666666666666663</v>
      </c>
      <c r="G7" t="s">
        <v>11</v>
      </c>
      <c r="H7" t="str">
        <f>VLOOKUP(G7,Config!$B$2:$C$33,2)</f>
        <v>France</v>
      </c>
      <c r="I7" s="18" t="str">
        <f>CONCATENATE(VLOOKUP("Match",languages!B$75:I$75,VLOOKUP(Wallchart!P$4,languages!B$81:C$87,2))," ",U7)</f>
        <v xml:space="preserve">Match 7 </v>
      </c>
      <c r="J7" t="s">
        <v>12</v>
      </c>
      <c r="K7" t="str">
        <f>VLOOKUP(J7,Config!$B$2:$C$33,2)</f>
        <v>Australia</v>
      </c>
      <c r="L7" t="s">
        <v>734</v>
      </c>
      <c r="M7">
        <v>6</v>
      </c>
      <c r="N7" s="2">
        <f t="shared" si="1"/>
        <v>0.79166666666666663</v>
      </c>
      <c r="O7" s="2">
        <f t="shared" si="2"/>
        <v>0.83333333333333326</v>
      </c>
      <c r="P7">
        <v>-3</v>
      </c>
      <c r="R7" s="47" t="s">
        <v>731</v>
      </c>
      <c r="S7" s="48">
        <v>3</v>
      </c>
      <c r="U7" t="s">
        <v>643</v>
      </c>
    </row>
    <row r="8" spans="1:21" x14ac:dyDescent="0.25">
      <c r="A8">
        <v>8</v>
      </c>
      <c r="B8" t="s">
        <v>40</v>
      </c>
      <c r="C8" t="s">
        <v>33</v>
      </c>
      <c r="D8" s="4">
        <f t="shared" si="0"/>
        <v>44887</v>
      </c>
      <c r="E8" s="1">
        <v>44887</v>
      </c>
      <c r="F8" s="2">
        <v>0.79166666666666663</v>
      </c>
      <c r="G8" t="s">
        <v>9</v>
      </c>
      <c r="H8" t="str">
        <f>VLOOKUP(G8,Config!$B$2:$C$33,2)</f>
        <v>Mexico</v>
      </c>
      <c r="I8" s="18" t="str">
        <f>CONCATENATE(VLOOKUP("Match",languages!B$75:I$75,VLOOKUP(Wallchart!P$4,languages!B$81:C$87,2))," ",U8)</f>
        <v xml:space="preserve">Match 6 </v>
      </c>
      <c r="J8" t="s">
        <v>10</v>
      </c>
      <c r="K8" t="str">
        <f>VLOOKUP(J8,Config!$B$2:$C$33,2)</f>
        <v>Poland</v>
      </c>
      <c r="L8" t="s">
        <v>735</v>
      </c>
      <c r="M8">
        <v>7</v>
      </c>
      <c r="N8" s="2">
        <f t="shared" si="1"/>
        <v>0.66666666666666663</v>
      </c>
      <c r="O8" s="2">
        <f t="shared" si="2"/>
        <v>0.70833333333333326</v>
      </c>
      <c r="P8">
        <v>-3</v>
      </c>
      <c r="R8" s="47" t="s">
        <v>733</v>
      </c>
      <c r="S8" s="48">
        <v>3</v>
      </c>
      <c r="U8" t="s">
        <v>644</v>
      </c>
    </row>
    <row r="9" spans="1:21" x14ac:dyDescent="0.25">
      <c r="A9">
        <v>9</v>
      </c>
      <c r="B9" t="s">
        <v>40</v>
      </c>
      <c r="C9" t="s">
        <v>34</v>
      </c>
      <c r="D9" s="4">
        <f t="shared" si="0"/>
        <v>44887</v>
      </c>
      <c r="E9" s="1">
        <v>44887</v>
      </c>
      <c r="F9" s="41">
        <v>0.66666666666666663</v>
      </c>
      <c r="G9" t="s">
        <v>13</v>
      </c>
      <c r="H9" t="str">
        <f>VLOOKUP(G9,Config!$B$2:$C$33,2)</f>
        <v>Denmark</v>
      </c>
      <c r="I9" s="18" t="str">
        <f>CONCATENATE(VLOOKUP("Match",languages!B$75:I$75,VLOOKUP(Wallchart!P$4,languages!B$81:C$87,2))," ",U9)</f>
        <v xml:space="preserve">Match 8 </v>
      </c>
      <c r="J9" t="s">
        <v>14</v>
      </c>
      <c r="K9" t="str">
        <f>VLOOKUP(J9,Config!$B$2:$C$33,2)</f>
        <v>Tunisia</v>
      </c>
      <c r="L9" t="s">
        <v>736</v>
      </c>
      <c r="M9">
        <v>8</v>
      </c>
      <c r="N9" s="2">
        <f t="shared" si="1"/>
        <v>0.54166666666666663</v>
      </c>
      <c r="O9" s="2">
        <f t="shared" si="2"/>
        <v>0.58333333333333326</v>
      </c>
      <c r="P9">
        <v>-3</v>
      </c>
      <c r="R9" s="47" t="s">
        <v>735</v>
      </c>
      <c r="S9" s="48">
        <v>3</v>
      </c>
      <c r="U9" t="s">
        <v>645</v>
      </c>
    </row>
    <row r="10" spans="1:21" x14ac:dyDescent="0.25">
      <c r="A10">
        <v>10</v>
      </c>
      <c r="B10" t="s">
        <v>40</v>
      </c>
      <c r="C10" t="s">
        <v>35</v>
      </c>
      <c r="D10" s="4">
        <f t="shared" si="0"/>
        <v>44888</v>
      </c>
      <c r="E10" s="1">
        <f t="shared" ref="E10" si="3">E9+1</f>
        <v>44888</v>
      </c>
      <c r="F10" s="2">
        <v>0.79166666666666663</v>
      </c>
      <c r="G10" t="s">
        <v>15</v>
      </c>
      <c r="H10" t="str">
        <f>VLOOKUP(G10,Config!$B$2:$C$33,2)</f>
        <v>Spain</v>
      </c>
      <c r="I10" s="18" t="str">
        <f>CONCATENATE(VLOOKUP("Match",languages!B$75:I$75,VLOOKUP(Wallchart!P$4,languages!B$81:C$87,2))," ",U10)</f>
        <v xml:space="preserve">Match 9 </v>
      </c>
      <c r="J10" t="s">
        <v>16</v>
      </c>
      <c r="K10" t="str">
        <f>VLOOKUP(J10,Config!$B$2:$C$33,2)</f>
        <v>Costa Rica</v>
      </c>
      <c r="L10" t="s">
        <v>737</v>
      </c>
      <c r="M10">
        <v>9</v>
      </c>
      <c r="N10" s="2">
        <f t="shared" si="1"/>
        <v>0.66666666666666663</v>
      </c>
      <c r="O10" s="2">
        <f t="shared" si="2"/>
        <v>0.70833333333333326</v>
      </c>
      <c r="P10">
        <v>-3</v>
      </c>
      <c r="R10" s="47" t="s">
        <v>242</v>
      </c>
      <c r="S10" s="48">
        <v>3</v>
      </c>
      <c r="U10" t="s">
        <v>646</v>
      </c>
    </row>
    <row r="11" spans="1:21" x14ac:dyDescent="0.25">
      <c r="A11">
        <v>11</v>
      </c>
      <c r="B11" t="s">
        <v>40</v>
      </c>
      <c r="C11" t="s">
        <v>35</v>
      </c>
      <c r="D11" s="4">
        <f t="shared" si="0"/>
        <v>44888</v>
      </c>
      <c r="E11" s="1">
        <f t="shared" ref="E11:E12" si="4">E10</f>
        <v>44888</v>
      </c>
      <c r="F11" s="2">
        <v>0.66666666666666663</v>
      </c>
      <c r="G11" t="s">
        <v>17</v>
      </c>
      <c r="H11" t="str">
        <f>VLOOKUP(G11,Config!$B$2:$C$33,2)</f>
        <v>Germany</v>
      </c>
      <c r="I11" s="18" t="str">
        <f>CONCATENATE(VLOOKUP("Match",languages!B$75:I$75,VLOOKUP(Wallchart!P$4,languages!B$81:C$87,2))," ",U11)</f>
        <v xml:space="preserve">Match 10 </v>
      </c>
      <c r="J11" t="s">
        <v>18</v>
      </c>
      <c r="K11" t="str">
        <f>VLOOKUP(J11,Config!$B$2:$C$33,2)</f>
        <v>Japan</v>
      </c>
      <c r="L11" t="s">
        <v>731</v>
      </c>
      <c r="M11">
        <v>10</v>
      </c>
      <c r="N11" s="2">
        <f t="shared" si="1"/>
        <v>0.54166666666666663</v>
      </c>
      <c r="O11" s="2">
        <f t="shared" si="2"/>
        <v>0.58333333333333326</v>
      </c>
      <c r="P11">
        <v>-3</v>
      </c>
      <c r="R11" s="47" t="s">
        <v>246</v>
      </c>
      <c r="S11" s="48">
        <v>3</v>
      </c>
      <c r="U11" t="s">
        <v>647</v>
      </c>
    </row>
    <row r="12" spans="1:21" x14ac:dyDescent="0.25">
      <c r="A12">
        <v>12</v>
      </c>
      <c r="B12" t="s">
        <v>40</v>
      </c>
      <c r="C12" t="s">
        <v>36</v>
      </c>
      <c r="D12" s="4">
        <f t="shared" si="0"/>
        <v>44888</v>
      </c>
      <c r="E12" s="1">
        <f t="shared" si="4"/>
        <v>44888</v>
      </c>
      <c r="F12" s="2">
        <v>0.91666666666666663</v>
      </c>
      <c r="G12" t="s">
        <v>19</v>
      </c>
      <c r="H12" t="str">
        <f>VLOOKUP(G12,Config!$B$2:$C$33,2)</f>
        <v>Belgium</v>
      </c>
      <c r="I12" s="18" t="str">
        <f>CONCATENATE(VLOOKUP("Match",languages!B$75:I$75,VLOOKUP(Wallchart!P$4,languages!B$81:C$87,2))," ",U12)</f>
        <v xml:space="preserve">Match 11 </v>
      </c>
      <c r="J12" t="s">
        <v>20</v>
      </c>
      <c r="K12" t="str">
        <f>VLOOKUP(J12,Config!$B$2:$C$33,2)</f>
        <v>Canada</v>
      </c>
      <c r="L12" t="s">
        <v>732</v>
      </c>
      <c r="M12">
        <v>11</v>
      </c>
      <c r="N12" s="2">
        <f t="shared" si="1"/>
        <v>0.79166666666666663</v>
      </c>
      <c r="O12" s="2">
        <f t="shared" si="2"/>
        <v>0.83333333333333326</v>
      </c>
      <c r="P12">
        <v>-3</v>
      </c>
      <c r="R12" s="47" t="s">
        <v>245</v>
      </c>
      <c r="S12" s="48">
        <v>3</v>
      </c>
      <c r="U12" t="s">
        <v>648</v>
      </c>
    </row>
    <row r="13" spans="1:21" ht="15.75" thickBot="1" x14ac:dyDescent="0.3">
      <c r="A13">
        <v>13</v>
      </c>
      <c r="B13" t="s">
        <v>40</v>
      </c>
      <c r="C13" t="s">
        <v>37</v>
      </c>
      <c r="D13" s="4">
        <f t="shared" si="0"/>
        <v>44889</v>
      </c>
      <c r="E13" s="1">
        <v>44889</v>
      </c>
      <c r="F13" s="2">
        <v>0.91666666666666663</v>
      </c>
      <c r="G13" t="s">
        <v>23</v>
      </c>
      <c r="H13" t="str">
        <f>VLOOKUP(G13,Config!$B$2:$C$33,2)</f>
        <v>Brazil</v>
      </c>
      <c r="I13" s="18" t="str">
        <f>CONCATENATE(VLOOKUP("Match",languages!B$75:I$75,VLOOKUP(Wallchart!P$4,languages!B$81:C$87,2))," ",U13)</f>
        <v xml:space="preserve">Match 13 </v>
      </c>
      <c r="J13" t="s">
        <v>24</v>
      </c>
      <c r="K13" t="str">
        <f>VLOOKUP(J13,Config!$B$2:$C$33,2)</f>
        <v>Serbia</v>
      </c>
      <c r="L13" t="s">
        <v>733</v>
      </c>
      <c r="M13">
        <v>12</v>
      </c>
      <c r="N13" s="2">
        <f t="shared" si="1"/>
        <v>0.79166666666666663</v>
      </c>
      <c r="O13" s="2">
        <f t="shared" si="2"/>
        <v>0.83333333333333326</v>
      </c>
      <c r="P13">
        <v>-3</v>
      </c>
      <c r="R13" s="49" t="s">
        <v>247</v>
      </c>
      <c r="S13" s="50">
        <v>3</v>
      </c>
      <c r="U13" t="s">
        <v>649</v>
      </c>
    </row>
    <row r="14" spans="1:21" x14ac:dyDescent="0.25">
      <c r="A14">
        <v>14</v>
      </c>
      <c r="B14" t="s">
        <v>40</v>
      </c>
      <c r="C14" t="s">
        <v>36</v>
      </c>
      <c r="D14" s="4">
        <f t="shared" si="0"/>
        <v>44888</v>
      </c>
      <c r="E14" s="1">
        <v>44888</v>
      </c>
      <c r="F14" s="2">
        <v>0.54166666666666663</v>
      </c>
      <c r="G14" t="s">
        <v>21</v>
      </c>
      <c r="H14" t="str">
        <f>VLOOKUP(G14,Config!$B$2:$C$33,2)</f>
        <v>Morocco</v>
      </c>
      <c r="I14" s="18" t="str">
        <f>CONCATENATE(VLOOKUP("Match",languages!B$75:I$75,VLOOKUP(Wallchart!P$4,languages!B$81:C$87,2))," ",U14)</f>
        <v xml:space="preserve">Match 12 </v>
      </c>
      <c r="J14" t="s">
        <v>22</v>
      </c>
      <c r="K14" t="str">
        <f>VLOOKUP(J14,Config!$B$2:$C$33,2)</f>
        <v>Croatia</v>
      </c>
      <c r="L14" t="s">
        <v>730</v>
      </c>
      <c r="M14">
        <v>13</v>
      </c>
      <c r="N14" s="2">
        <f t="shared" si="1"/>
        <v>0.41666666666666663</v>
      </c>
      <c r="O14" s="2">
        <f t="shared" si="2"/>
        <v>0.45833333333333331</v>
      </c>
      <c r="P14">
        <v>-3</v>
      </c>
      <c r="U14" t="s">
        <v>650</v>
      </c>
    </row>
    <row r="15" spans="1:21" x14ac:dyDescent="0.25">
      <c r="A15">
        <v>15</v>
      </c>
      <c r="B15" t="s">
        <v>40</v>
      </c>
      <c r="C15" t="s">
        <v>37</v>
      </c>
      <c r="D15" s="4">
        <f t="shared" si="0"/>
        <v>44889</v>
      </c>
      <c r="E15" s="1">
        <v>44889</v>
      </c>
      <c r="F15" s="2">
        <v>0.54166666666666663</v>
      </c>
      <c r="G15" t="s">
        <v>25</v>
      </c>
      <c r="H15" t="str">
        <f>VLOOKUP(G15,Config!$B$2:$C$33,2)</f>
        <v>Switzerland</v>
      </c>
      <c r="I15" s="18" t="str">
        <f>CONCATENATE(VLOOKUP("Match",languages!B$75:I$75,VLOOKUP(Wallchart!P$4,languages!B$81:C$87,2))," ",U15)</f>
        <v xml:space="preserve">Match 14 </v>
      </c>
      <c r="J15" t="s">
        <v>26</v>
      </c>
      <c r="K15" t="str">
        <f>VLOOKUP(J15,Config!$B$2:$C$33,2)</f>
        <v>Cameroon</v>
      </c>
      <c r="L15" t="s">
        <v>734</v>
      </c>
      <c r="M15">
        <v>14</v>
      </c>
      <c r="N15" s="2">
        <f t="shared" si="1"/>
        <v>0.41666666666666663</v>
      </c>
      <c r="O15" s="2">
        <f t="shared" si="2"/>
        <v>0.45833333333333331</v>
      </c>
      <c r="P15">
        <v>-3</v>
      </c>
      <c r="U15" t="s">
        <v>651</v>
      </c>
    </row>
    <row r="16" spans="1:21" x14ac:dyDescent="0.25">
      <c r="A16">
        <v>16</v>
      </c>
      <c r="B16" t="s">
        <v>40</v>
      </c>
      <c r="C16" t="s">
        <v>38</v>
      </c>
      <c r="D16" s="4">
        <f t="shared" si="0"/>
        <v>44889</v>
      </c>
      <c r="E16" s="1">
        <v>44889</v>
      </c>
      <c r="F16" s="41">
        <v>0.79166666666666663</v>
      </c>
      <c r="G16" t="s">
        <v>27</v>
      </c>
      <c r="H16" t="str">
        <f>VLOOKUP(G16,Config!$B$2:$C$33,2)</f>
        <v>Portugal</v>
      </c>
      <c r="I16" s="18" t="str">
        <f>CONCATENATE(VLOOKUP("Match",languages!B$75:I$75,VLOOKUP(Wallchart!P$4,languages!B$81:C$87,2))," ",U16)</f>
        <v>Match 15</v>
      </c>
      <c r="J16" t="s">
        <v>28</v>
      </c>
      <c r="K16" t="str">
        <f>VLOOKUP(J16,Config!$B$2:$C$33,2)</f>
        <v>Ghana</v>
      </c>
      <c r="L16" t="s">
        <v>735</v>
      </c>
      <c r="M16">
        <v>15</v>
      </c>
      <c r="N16" s="2">
        <f t="shared" si="1"/>
        <v>0.66666666666666663</v>
      </c>
      <c r="O16" s="2">
        <f t="shared" si="2"/>
        <v>0.70833333333333326</v>
      </c>
      <c r="P16">
        <v>-3</v>
      </c>
      <c r="U16" s="179" t="s">
        <v>704</v>
      </c>
    </row>
    <row r="17" spans="1:21" x14ac:dyDescent="0.25">
      <c r="A17">
        <v>17</v>
      </c>
      <c r="B17" t="s">
        <v>40</v>
      </c>
      <c r="C17" t="s">
        <v>32</v>
      </c>
      <c r="D17" s="4">
        <f t="shared" si="0"/>
        <v>44890</v>
      </c>
      <c r="E17" s="1">
        <v>44890</v>
      </c>
      <c r="F17" s="41">
        <v>0.66666666666666663</v>
      </c>
      <c r="G17" t="s">
        <v>47</v>
      </c>
      <c r="H17" t="str">
        <f>VLOOKUP(G17,Config!$B$2:$C$33,2)</f>
        <v>Qatar</v>
      </c>
      <c r="I17" s="18" t="str">
        <f>CONCATENATE(VLOOKUP("Match",languages!B$75:I$75,VLOOKUP(Wallchart!P$4,languages!B$81:C$87,2))," ",U17)</f>
        <v xml:space="preserve">Match 17 </v>
      </c>
      <c r="J17" t="s">
        <v>1</v>
      </c>
      <c r="K17" t="str">
        <f>VLOOKUP(J17,Config!$B$2:$C$33,2)</f>
        <v>Senegal</v>
      </c>
      <c r="L17" t="s">
        <v>737</v>
      </c>
      <c r="M17">
        <v>16</v>
      </c>
      <c r="N17" s="2">
        <f t="shared" si="1"/>
        <v>0.54166666666666663</v>
      </c>
      <c r="O17" s="2">
        <f t="shared" si="2"/>
        <v>0.58333333333333326</v>
      </c>
      <c r="P17">
        <v>-3</v>
      </c>
      <c r="U17" t="s">
        <v>652</v>
      </c>
    </row>
    <row r="18" spans="1:21" x14ac:dyDescent="0.25">
      <c r="A18">
        <v>18</v>
      </c>
      <c r="B18" t="s">
        <v>40</v>
      </c>
      <c r="C18" t="s">
        <v>38</v>
      </c>
      <c r="D18" s="4">
        <f t="shared" si="0"/>
        <v>44889</v>
      </c>
      <c r="E18" s="1">
        <v>44889</v>
      </c>
      <c r="F18" s="41">
        <v>0.66666666666666663</v>
      </c>
      <c r="G18" t="s">
        <v>29</v>
      </c>
      <c r="H18" t="str">
        <f>VLOOKUP(G18,Config!$B$2:$C$33,2)</f>
        <v>Uruguay</v>
      </c>
      <c r="I18" s="18" t="str">
        <f>CONCATENATE(VLOOKUP("Match",languages!B$75:I$75,VLOOKUP(Wallchart!P$4,languages!B$81:C$87,2))," ",U18)</f>
        <v>Match 16</v>
      </c>
      <c r="J18" t="s">
        <v>30</v>
      </c>
      <c r="K18" t="str">
        <f>VLOOKUP(J18,Config!$B$2:$C$33,2)</f>
        <v>Korea Republic</v>
      </c>
      <c r="L18" t="s">
        <v>736</v>
      </c>
      <c r="M18">
        <v>17</v>
      </c>
      <c r="N18" s="2">
        <f t="shared" si="1"/>
        <v>0.54166666666666663</v>
      </c>
      <c r="O18" s="2">
        <f t="shared" si="2"/>
        <v>0.58333333333333326</v>
      </c>
      <c r="P18">
        <v>-3</v>
      </c>
      <c r="U18" s="179" t="s">
        <v>705</v>
      </c>
    </row>
    <row r="19" spans="1:21" x14ac:dyDescent="0.25">
      <c r="A19">
        <v>19</v>
      </c>
      <c r="B19" t="s">
        <v>40</v>
      </c>
      <c r="C19" t="s">
        <v>31</v>
      </c>
      <c r="D19" s="4">
        <f t="shared" si="0"/>
        <v>44890</v>
      </c>
      <c r="E19" s="1">
        <v>44890</v>
      </c>
      <c r="F19" s="41">
        <v>0.54166666666666663</v>
      </c>
      <c r="G19" t="s">
        <v>6</v>
      </c>
      <c r="H19" t="str">
        <f>VLOOKUP(G19,Config!$B$2:$C$33,2)</f>
        <v>Wales</v>
      </c>
      <c r="I19" s="18" t="str">
        <f>CONCATENATE(VLOOKUP("Match",languages!B$75:I$75,VLOOKUP(Wallchart!P$4,languages!B$81:C$87,2))," ",U19)</f>
        <v xml:space="preserve">Match 20 </v>
      </c>
      <c r="J19" t="s">
        <v>4</v>
      </c>
      <c r="K19" t="str">
        <f>VLOOKUP(J19,Config!$B$2:$C$33,2)</f>
        <v>Iran</v>
      </c>
      <c r="L19" t="s">
        <v>732</v>
      </c>
      <c r="M19">
        <v>18</v>
      </c>
      <c r="N19" s="2">
        <f t="shared" si="1"/>
        <v>0.41666666666666663</v>
      </c>
      <c r="O19" s="2">
        <f t="shared" si="2"/>
        <v>0.45833333333333331</v>
      </c>
      <c r="P19">
        <v>-3</v>
      </c>
      <c r="U19" t="s">
        <v>653</v>
      </c>
    </row>
    <row r="20" spans="1:21" x14ac:dyDescent="0.25">
      <c r="A20">
        <v>20</v>
      </c>
      <c r="B20" t="s">
        <v>40</v>
      </c>
      <c r="C20" t="s">
        <v>32</v>
      </c>
      <c r="D20" s="4">
        <f t="shared" si="0"/>
        <v>44890</v>
      </c>
      <c r="E20" s="1">
        <v>44890</v>
      </c>
      <c r="F20" s="41">
        <v>0.79166666666666663</v>
      </c>
      <c r="G20" t="s">
        <v>2</v>
      </c>
      <c r="H20" t="str">
        <f>VLOOKUP(G20,Config!$B$2:$C$33,2)</f>
        <v>Netherlands</v>
      </c>
      <c r="I20" s="18" t="str">
        <f>CONCATENATE(VLOOKUP("Match",languages!B$75:I$75,VLOOKUP(Wallchart!P$4,languages!B$81:C$87,2))," ",U20)</f>
        <v xml:space="preserve">Match 18 </v>
      </c>
      <c r="J20" t="s">
        <v>0</v>
      </c>
      <c r="K20" t="str">
        <f>VLOOKUP(J20,Config!$B$2:$C$33,2)</f>
        <v>Ecuador</v>
      </c>
      <c r="L20" t="s">
        <v>731</v>
      </c>
      <c r="M20">
        <v>19</v>
      </c>
      <c r="N20" s="2">
        <f t="shared" si="1"/>
        <v>0.66666666666666663</v>
      </c>
      <c r="O20" s="2">
        <f t="shared" si="2"/>
        <v>0.70833333333333326</v>
      </c>
      <c r="P20">
        <v>-3</v>
      </c>
      <c r="U20" t="s">
        <v>654</v>
      </c>
    </row>
    <row r="21" spans="1:21" x14ac:dyDescent="0.25">
      <c r="A21">
        <v>21</v>
      </c>
      <c r="B21" t="s">
        <v>40</v>
      </c>
      <c r="C21" t="s">
        <v>31</v>
      </c>
      <c r="D21" s="4">
        <f t="shared" si="0"/>
        <v>44890</v>
      </c>
      <c r="E21" s="1">
        <v>44890</v>
      </c>
      <c r="F21" s="41">
        <v>0.91666666666666663</v>
      </c>
      <c r="G21" t="s">
        <v>3</v>
      </c>
      <c r="H21" t="str">
        <f>VLOOKUP(G21,Config!$B$2:$C$33,2)</f>
        <v>England</v>
      </c>
      <c r="I21" s="18" t="str">
        <f>CONCATENATE(VLOOKUP("Match",languages!B$75:I$75,VLOOKUP(Wallchart!P$4,languages!B$81:C$87,2))," ",U21)</f>
        <v xml:space="preserve">Match 19 </v>
      </c>
      <c r="J21" t="s">
        <v>5</v>
      </c>
      <c r="K21" t="str">
        <f>VLOOKUP(J21,Config!$B$2:$C$33,2)</f>
        <v>USA</v>
      </c>
      <c r="L21" t="s">
        <v>730</v>
      </c>
      <c r="M21">
        <v>20</v>
      </c>
      <c r="N21" s="2">
        <f t="shared" si="1"/>
        <v>0.79166666666666663</v>
      </c>
      <c r="O21" s="2">
        <f t="shared" si="2"/>
        <v>0.83333333333333326</v>
      </c>
      <c r="P21">
        <v>-3</v>
      </c>
      <c r="U21" t="s">
        <v>655</v>
      </c>
    </row>
    <row r="22" spans="1:21" x14ac:dyDescent="0.25">
      <c r="A22">
        <v>22</v>
      </c>
      <c r="B22" t="s">
        <v>40</v>
      </c>
      <c r="C22" t="s">
        <v>33</v>
      </c>
      <c r="D22" s="4">
        <f t="shared" si="0"/>
        <v>44891</v>
      </c>
      <c r="E22" s="1">
        <v>44891</v>
      </c>
      <c r="F22" s="41">
        <v>0.91666666666666663</v>
      </c>
      <c r="G22" t="s">
        <v>7</v>
      </c>
      <c r="H22" t="str">
        <f>VLOOKUP(G22,Config!$B$2:$C$33,2)</f>
        <v>Argentina</v>
      </c>
      <c r="I22" s="18" t="str">
        <f>CONCATENATE(VLOOKUP("Match",languages!B$75:I$75,VLOOKUP(Wallchart!P$4,languages!B$81:C$87,2))," ",U22)</f>
        <v xml:space="preserve">Match 21 </v>
      </c>
      <c r="J22" t="s">
        <v>9</v>
      </c>
      <c r="K22" t="str">
        <f>VLOOKUP(J22,Config!$B$2:$C$33,2)</f>
        <v>Mexico</v>
      </c>
      <c r="L22" t="s">
        <v>733</v>
      </c>
      <c r="M22">
        <v>21</v>
      </c>
      <c r="N22" s="2">
        <f t="shared" si="1"/>
        <v>0.79166666666666663</v>
      </c>
      <c r="O22" s="2">
        <f t="shared" si="2"/>
        <v>0.83333333333333326</v>
      </c>
      <c r="P22">
        <v>-3</v>
      </c>
      <c r="U22" t="s">
        <v>656</v>
      </c>
    </row>
    <row r="23" spans="1:21" x14ac:dyDescent="0.25">
      <c r="A23">
        <v>23</v>
      </c>
      <c r="B23" t="s">
        <v>40</v>
      </c>
      <c r="C23" t="s">
        <v>34</v>
      </c>
      <c r="D23" s="4">
        <f t="shared" si="0"/>
        <v>44891</v>
      </c>
      <c r="E23" s="1">
        <v>44891</v>
      </c>
      <c r="F23" s="41">
        <v>0.79166666666666663</v>
      </c>
      <c r="G23" t="s">
        <v>11</v>
      </c>
      <c r="H23" t="str">
        <f>VLOOKUP(G23,Config!$B$2:$C$33,2)</f>
        <v>France</v>
      </c>
      <c r="I23" s="18" t="str">
        <f>CONCATENATE(VLOOKUP("Match",languages!B$75:I$75,VLOOKUP(Wallchart!P$4,languages!B$81:C$87,2))," ",U23)</f>
        <v xml:space="preserve">Match 23 </v>
      </c>
      <c r="J23" t="s">
        <v>13</v>
      </c>
      <c r="K23" t="str">
        <f>VLOOKUP(J23,Config!$B$2:$C$33,2)</f>
        <v>Denmark</v>
      </c>
      <c r="L23" t="s">
        <v>735</v>
      </c>
      <c r="M23">
        <v>22</v>
      </c>
      <c r="N23" s="2">
        <f t="shared" si="1"/>
        <v>0.66666666666666663</v>
      </c>
      <c r="O23" s="2">
        <f t="shared" si="2"/>
        <v>0.70833333333333326</v>
      </c>
      <c r="P23">
        <v>-3</v>
      </c>
      <c r="U23" t="s">
        <v>657</v>
      </c>
    </row>
    <row r="24" spans="1:21" x14ac:dyDescent="0.25">
      <c r="A24">
        <v>24</v>
      </c>
      <c r="B24" t="s">
        <v>40</v>
      </c>
      <c r="C24" t="s">
        <v>33</v>
      </c>
      <c r="D24" s="4">
        <f t="shared" si="0"/>
        <v>44891</v>
      </c>
      <c r="E24" s="1">
        <v>44891</v>
      </c>
      <c r="F24" s="41">
        <v>0.66666666666666663</v>
      </c>
      <c r="G24" t="s">
        <v>10</v>
      </c>
      <c r="H24" t="str">
        <f>VLOOKUP(G24,Config!$B$2:$C$33,2)</f>
        <v>Poland</v>
      </c>
      <c r="I24" s="18" t="str">
        <f>CONCATENATE(VLOOKUP("Match",languages!B$75:I$75,VLOOKUP(Wallchart!P$4,languages!B$81:C$87,2))," ",U24)</f>
        <v xml:space="preserve">Match 22 </v>
      </c>
      <c r="J24" t="s">
        <v>8</v>
      </c>
      <c r="K24" t="str">
        <f>VLOOKUP(J24,Config!$B$2:$C$33,2)</f>
        <v>Saudi Arabia</v>
      </c>
      <c r="L24" t="s">
        <v>736</v>
      </c>
      <c r="M24">
        <v>23</v>
      </c>
      <c r="N24" s="2">
        <f t="shared" si="1"/>
        <v>0.54166666666666663</v>
      </c>
      <c r="O24" s="2">
        <f t="shared" si="2"/>
        <v>0.58333333333333326</v>
      </c>
      <c r="P24">
        <v>-3</v>
      </c>
      <c r="U24" t="s">
        <v>658</v>
      </c>
    </row>
    <row r="25" spans="1:21" x14ac:dyDescent="0.25">
      <c r="A25">
        <v>25</v>
      </c>
      <c r="B25" t="s">
        <v>40</v>
      </c>
      <c r="C25" t="s">
        <v>34</v>
      </c>
      <c r="D25" s="4">
        <f t="shared" si="0"/>
        <v>44891</v>
      </c>
      <c r="E25" s="1">
        <v>44891</v>
      </c>
      <c r="F25" s="41">
        <v>0.54166666666666663</v>
      </c>
      <c r="G25" t="s">
        <v>14</v>
      </c>
      <c r="H25" t="str">
        <f>VLOOKUP(G25,Config!$B$2:$C$33,2)</f>
        <v>Tunisia</v>
      </c>
      <c r="I25" s="18" t="str">
        <f>CONCATENATE(VLOOKUP("Match",languages!B$75:I$75,VLOOKUP(Wallchart!P$4,languages!B$81:C$87,2))," ",U25)</f>
        <v xml:space="preserve">Match 24 </v>
      </c>
      <c r="J25" t="s">
        <v>12</v>
      </c>
      <c r="K25" t="str">
        <f>VLOOKUP(J25,Config!$B$2:$C$33,2)</f>
        <v>Australia</v>
      </c>
      <c r="L25" t="s">
        <v>734</v>
      </c>
      <c r="M25">
        <v>24</v>
      </c>
      <c r="N25" s="2">
        <f t="shared" si="1"/>
        <v>0.41666666666666663</v>
      </c>
      <c r="O25" s="2">
        <f t="shared" si="2"/>
        <v>0.45833333333333331</v>
      </c>
      <c r="P25">
        <v>-3</v>
      </c>
      <c r="U25" t="s">
        <v>659</v>
      </c>
    </row>
    <row r="26" spans="1:21" x14ac:dyDescent="0.25">
      <c r="A26">
        <v>26</v>
      </c>
      <c r="B26" t="s">
        <v>40</v>
      </c>
      <c r="C26" t="s">
        <v>35</v>
      </c>
      <c r="D26" s="4">
        <f t="shared" si="0"/>
        <v>44892</v>
      </c>
      <c r="E26" s="1">
        <v>44892</v>
      </c>
      <c r="F26" s="41">
        <v>0.91666666666666663</v>
      </c>
      <c r="G26" t="s">
        <v>15</v>
      </c>
      <c r="H26" t="str">
        <f>VLOOKUP(G26,Config!$B$2:$C$33,2)</f>
        <v>Spain</v>
      </c>
      <c r="I26" s="18" t="str">
        <f>CONCATENATE(VLOOKUP("Match",languages!B$75:I$75,VLOOKUP(Wallchart!P$4,languages!B$81:C$87,2))," ",U26)</f>
        <v xml:space="preserve">Match 25 </v>
      </c>
      <c r="J26" t="s">
        <v>17</v>
      </c>
      <c r="K26" t="str">
        <f>VLOOKUP(J26,Config!$B$2:$C$33,2)</f>
        <v>Germany</v>
      </c>
      <c r="L26" t="s">
        <v>730</v>
      </c>
      <c r="M26">
        <v>25</v>
      </c>
      <c r="N26" s="2">
        <f t="shared" si="1"/>
        <v>0.79166666666666663</v>
      </c>
      <c r="O26" s="2">
        <f t="shared" si="2"/>
        <v>0.83333333333333326</v>
      </c>
      <c r="P26">
        <v>-3</v>
      </c>
      <c r="U26" t="s">
        <v>660</v>
      </c>
    </row>
    <row r="27" spans="1:21" x14ac:dyDescent="0.25">
      <c r="A27">
        <v>27</v>
      </c>
      <c r="B27" t="s">
        <v>40</v>
      </c>
      <c r="C27" t="s">
        <v>35</v>
      </c>
      <c r="D27" s="4">
        <f t="shared" si="0"/>
        <v>44892</v>
      </c>
      <c r="E27" s="1">
        <v>44892</v>
      </c>
      <c r="F27" s="41">
        <v>0.54166666666666663</v>
      </c>
      <c r="G27" t="s">
        <v>18</v>
      </c>
      <c r="H27" t="str">
        <f>VLOOKUP(G27,Config!$B$2:$C$33,2)</f>
        <v>Japan</v>
      </c>
      <c r="I27" s="18" t="str">
        <f>CONCATENATE(VLOOKUP("Match",languages!B$75:I$75,VLOOKUP(Wallchart!P$4,languages!B$81:C$87,2))," ",U27)</f>
        <v xml:space="preserve">Match 26 </v>
      </c>
      <c r="J27" t="s">
        <v>16</v>
      </c>
      <c r="K27" t="str">
        <f>VLOOKUP(J27,Config!$B$2:$C$33,2)</f>
        <v>Costa Rica</v>
      </c>
      <c r="L27" t="s">
        <v>732</v>
      </c>
      <c r="M27">
        <v>26</v>
      </c>
      <c r="N27" s="2">
        <f t="shared" si="1"/>
        <v>0.41666666666666663</v>
      </c>
      <c r="O27" s="2">
        <f t="shared" si="2"/>
        <v>0.45833333333333331</v>
      </c>
      <c r="P27">
        <v>-3</v>
      </c>
      <c r="U27" t="s">
        <v>661</v>
      </c>
    </row>
    <row r="28" spans="1:21" x14ac:dyDescent="0.25">
      <c r="A28">
        <v>28</v>
      </c>
      <c r="B28" t="s">
        <v>40</v>
      </c>
      <c r="C28" t="s">
        <v>36</v>
      </c>
      <c r="D28" s="4">
        <f t="shared" si="0"/>
        <v>44892</v>
      </c>
      <c r="E28" s="1">
        <v>44892</v>
      </c>
      <c r="F28" s="41">
        <v>0.66666666666666663</v>
      </c>
      <c r="G28" t="s">
        <v>19</v>
      </c>
      <c r="H28" t="str">
        <f>VLOOKUP(G28,Config!$B$2:$C$33,2)</f>
        <v>Belgium</v>
      </c>
      <c r="I28" s="18" t="str">
        <f>CONCATENATE(VLOOKUP("Match",languages!B$75:I$75,VLOOKUP(Wallchart!P$4,languages!B$81:C$87,2))," ",U28)</f>
        <v xml:space="preserve">Match 27 </v>
      </c>
      <c r="J28" t="s">
        <v>21</v>
      </c>
      <c r="K28" t="str">
        <f>VLOOKUP(J28,Config!$B$2:$C$33,2)</f>
        <v>Morocco</v>
      </c>
      <c r="L28" t="s">
        <v>737</v>
      </c>
      <c r="M28">
        <v>27</v>
      </c>
      <c r="N28" s="2">
        <f t="shared" si="1"/>
        <v>0.54166666666666663</v>
      </c>
      <c r="O28" s="2">
        <f t="shared" si="2"/>
        <v>0.58333333333333326</v>
      </c>
      <c r="P28">
        <v>-3</v>
      </c>
      <c r="U28" t="s">
        <v>662</v>
      </c>
    </row>
    <row r="29" spans="1:21" x14ac:dyDescent="0.25">
      <c r="A29">
        <v>29</v>
      </c>
      <c r="B29" t="s">
        <v>40</v>
      </c>
      <c r="C29" t="s">
        <v>37</v>
      </c>
      <c r="D29" s="4">
        <f t="shared" si="0"/>
        <v>44893</v>
      </c>
      <c r="E29" s="1">
        <v>44893</v>
      </c>
      <c r="F29" s="41">
        <v>0.79166666666666663</v>
      </c>
      <c r="G29" t="s">
        <v>23</v>
      </c>
      <c r="H29" t="str">
        <f>VLOOKUP(G29,Config!$B$2:$C$33,2)</f>
        <v>Brazil</v>
      </c>
      <c r="I29" s="18" t="str">
        <f>CONCATENATE(VLOOKUP("Match",languages!B$75:I$75,VLOOKUP(Wallchart!P$4,languages!B$81:C$87,2))," ",U29)</f>
        <v xml:space="preserve">Match 29 </v>
      </c>
      <c r="J29" t="s">
        <v>25</v>
      </c>
      <c r="K29" t="str">
        <f>VLOOKUP(J29,Config!$B$2:$C$33,2)</f>
        <v>Switzerland</v>
      </c>
      <c r="L29" t="s">
        <v>735</v>
      </c>
      <c r="M29">
        <v>28</v>
      </c>
      <c r="N29" s="2">
        <f t="shared" si="1"/>
        <v>0.66666666666666663</v>
      </c>
      <c r="O29" s="2">
        <f t="shared" si="2"/>
        <v>0.70833333333333326</v>
      </c>
      <c r="P29">
        <v>-3</v>
      </c>
      <c r="U29" t="s">
        <v>663</v>
      </c>
    </row>
    <row r="30" spans="1:21" x14ac:dyDescent="0.25">
      <c r="A30">
        <v>30</v>
      </c>
      <c r="B30" t="s">
        <v>40</v>
      </c>
      <c r="C30" t="s">
        <v>36</v>
      </c>
      <c r="D30" s="4">
        <f t="shared" si="0"/>
        <v>44892</v>
      </c>
      <c r="E30" s="1">
        <v>44892</v>
      </c>
      <c r="F30" s="41">
        <v>0.79166666666666663</v>
      </c>
      <c r="G30" t="s">
        <v>22</v>
      </c>
      <c r="H30" t="str">
        <f>VLOOKUP(G30,Config!$B$2:$C$33,2)</f>
        <v>Croatia</v>
      </c>
      <c r="I30" s="18" t="str">
        <f>CONCATENATE(VLOOKUP("Match",languages!B$75:I$75,VLOOKUP(Wallchart!P$4,languages!B$81:C$87,2))," ",U30)</f>
        <v xml:space="preserve">Match 28 </v>
      </c>
      <c r="J30" t="s">
        <v>20</v>
      </c>
      <c r="K30" t="str">
        <f>VLOOKUP(J30,Config!$B$2:$C$33,2)</f>
        <v>Canada</v>
      </c>
      <c r="L30" t="s">
        <v>731</v>
      </c>
      <c r="M30">
        <v>29</v>
      </c>
      <c r="N30" s="2">
        <f t="shared" si="1"/>
        <v>0.66666666666666663</v>
      </c>
      <c r="O30" s="2">
        <f t="shared" si="2"/>
        <v>0.70833333333333326</v>
      </c>
      <c r="P30">
        <v>-3</v>
      </c>
      <c r="U30" t="s">
        <v>664</v>
      </c>
    </row>
    <row r="31" spans="1:21" x14ac:dyDescent="0.25">
      <c r="A31">
        <v>31</v>
      </c>
      <c r="B31" t="s">
        <v>40</v>
      </c>
      <c r="C31" t="s">
        <v>38</v>
      </c>
      <c r="D31" s="4">
        <f t="shared" si="0"/>
        <v>44893</v>
      </c>
      <c r="E31" s="1">
        <v>44893</v>
      </c>
      <c r="F31" s="41">
        <v>0.66666666666666663</v>
      </c>
      <c r="G31" t="s">
        <v>30</v>
      </c>
      <c r="H31" t="str">
        <f>VLOOKUP(G31,Config!$B$2:$C$33,2)</f>
        <v>Korea Republic</v>
      </c>
      <c r="I31" s="18" t="str">
        <f>CONCATENATE(VLOOKUP("Match",languages!B$75:I$75,VLOOKUP(Wallchart!P$4,languages!B$81:C$87,2))," ",U31)</f>
        <v>Match 32</v>
      </c>
      <c r="J31" t="s">
        <v>28</v>
      </c>
      <c r="K31" t="str">
        <f>VLOOKUP(J31,Config!$B$2:$C$33,2)</f>
        <v>Ghana</v>
      </c>
      <c r="L31" t="s">
        <v>736</v>
      </c>
      <c r="M31">
        <v>30</v>
      </c>
      <c r="N31" s="2">
        <f t="shared" si="1"/>
        <v>0.54166666666666663</v>
      </c>
      <c r="O31" s="2">
        <f t="shared" si="2"/>
        <v>0.58333333333333326</v>
      </c>
      <c r="P31">
        <v>-3</v>
      </c>
      <c r="U31" s="179" t="s">
        <v>706</v>
      </c>
    </row>
    <row r="32" spans="1:21" x14ac:dyDescent="0.25">
      <c r="A32">
        <v>32</v>
      </c>
      <c r="B32" t="s">
        <v>40</v>
      </c>
      <c r="C32" t="s">
        <v>37</v>
      </c>
      <c r="D32" s="4">
        <f t="shared" si="0"/>
        <v>44893</v>
      </c>
      <c r="E32" s="1">
        <v>44893</v>
      </c>
      <c r="F32" s="41">
        <v>0.54166666666666663</v>
      </c>
      <c r="G32" t="s">
        <v>26</v>
      </c>
      <c r="H32" t="str">
        <f>VLOOKUP(G32,Config!$B$2:$C$33,2)</f>
        <v>Cameroon</v>
      </c>
      <c r="I32" s="18" t="str">
        <f>CONCATENATE(VLOOKUP("Match",languages!B$75:I$75,VLOOKUP(Wallchart!P$4,languages!B$81:C$87,2))," ",U32)</f>
        <v xml:space="preserve">Match 30 </v>
      </c>
      <c r="J32" t="s">
        <v>24</v>
      </c>
      <c r="K32" t="str">
        <f>VLOOKUP(J32,Config!$B$2:$C$33,2)</f>
        <v>Serbia</v>
      </c>
      <c r="L32" t="s">
        <v>734</v>
      </c>
      <c r="M32">
        <v>31</v>
      </c>
      <c r="N32" s="2">
        <f t="shared" si="1"/>
        <v>0.41666666666666663</v>
      </c>
      <c r="O32" s="2">
        <f t="shared" si="2"/>
        <v>0.45833333333333331</v>
      </c>
      <c r="P32">
        <v>-3</v>
      </c>
      <c r="U32" t="s">
        <v>665</v>
      </c>
    </row>
    <row r="33" spans="1:21" x14ac:dyDescent="0.25">
      <c r="A33">
        <v>33</v>
      </c>
      <c r="B33" t="s">
        <v>40</v>
      </c>
      <c r="C33" t="s">
        <v>38</v>
      </c>
      <c r="D33" s="4">
        <f t="shared" si="0"/>
        <v>44893</v>
      </c>
      <c r="E33" s="1">
        <v>44893</v>
      </c>
      <c r="F33" s="41">
        <v>0.91666666666666663</v>
      </c>
      <c r="G33" t="s">
        <v>27</v>
      </c>
      <c r="H33" t="str">
        <f>VLOOKUP(G33,Config!$B$2:$C$33,2)</f>
        <v>Portugal</v>
      </c>
      <c r="I33" s="18" t="str">
        <f>CONCATENATE(VLOOKUP("Match",languages!B$75:I$75,VLOOKUP(Wallchart!P$4,languages!B$81:C$87,2))," ",U33)</f>
        <v>Match 31</v>
      </c>
      <c r="J33" t="s">
        <v>29</v>
      </c>
      <c r="K33" t="str">
        <f>VLOOKUP(J33,Config!$B$2:$C$33,2)</f>
        <v>Uruguay</v>
      </c>
      <c r="L33" t="s">
        <v>733</v>
      </c>
      <c r="M33">
        <v>32</v>
      </c>
      <c r="N33" s="2">
        <f t="shared" si="1"/>
        <v>0.79166666666666663</v>
      </c>
      <c r="O33" s="2">
        <f t="shared" si="2"/>
        <v>0.83333333333333326</v>
      </c>
      <c r="P33">
        <v>-3</v>
      </c>
      <c r="U33" s="179" t="s">
        <v>707</v>
      </c>
    </row>
    <row r="34" spans="1:21" x14ac:dyDescent="0.25">
      <c r="A34">
        <v>34</v>
      </c>
      <c r="B34" t="s">
        <v>40</v>
      </c>
      <c r="C34" t="s">
        <v>31</v>
      </c>
      <c r="D34" s="4">
        <f t="shared" si="0"/>
        <v>44894</v>
      </c>
      <c r="E34" s="1">
        <v>44894</v>
      </c>
      <c r="F34" s="41">
        <v>0.91666666666666663</v>
      </c>
      <c r="G34" t="s">
        <v>6</v>
      </c>
      <c r="H34" t="str">
        <f>VLOOKUP(G34,Config!$B$2:$C$33,2)</f>
        <v>Wales</v>
      </c>
      <c r="I34" s="18" t="str">
        <f>CONCATENATE(VLOOKUP("Match",languages!B$75:I$75,VLOOKUP(Wallchart!P$4,languages!B$81:C$87,2))," ",U34)</f>
        <v xml:space="preserve">Match 35 </v>
      </c>
      <c r="J34" t="s">
        <v>3</v>
      </c>
      <c r="K34" t="str">
        <f>VLOOKUP(J34,Config!$B$2:$C$33,2)</f>
        <v>England</v>
      </c>
      <c r="L34" t="s">
        <v>732</v>
      </c>
      <c r="M34">
        <v>33</v>
      </c>
      <c r="N34" s="2">
        <f t="shared" si="1"/>
        <v>0.79166666666666663</v>
      </c>
      <c r="O34" s="2">
        <f t="shared" si="2"/>
        <v>0.83333333333333326</v>
      </c>
      <c r="P34">
        <v>-3</v>
      </c>
      <c r="U34" t="s">
        <v>666</v>
      </c>
    </row>
    <row r="35" spans="1:21" x14ac:dyDescent="0.25">
      <c r="A35">
        <v>35</v>
      </c>
      <c r="B35" t="s">
        <v>40</v>
      </c>
      <c r="C35" t="s">
        <v>31</v>
      </c>
      <c r="D35" s="4">
        <f t="shared" si="0"/>
        <v>44894</v>
      </c>
      <c r="E35" s="1">
        <v>44894</v>
      </c>
      <c r="F35" s="41">
        <v>0.91666666666666663</v>
      </c>
      <c r="G35" t="s">
        <v>4</v>
      </c>
      <c r="H35" t="str">
        <f>VLOOKUP(G35,Config!$B$2:$C$33,2)</f>
        <v>Iran</v>
      </c>
      <c r="I35" s="18" t="str">
        <f>CONCATENATE(VLOOKUP("Match",languages!B$75:I$75,VLOOKUP(Wallchart!P$4,languages!B$81:C$87,2))," ",U35)</f>
        <v xml:space="preserve">Match 36 </v>
      </c>
      <c r="J35" t="s">
        <v>5</v>
      </c>
      <c r="K35" t="str">
        <f>VLOOKUP(J35,Config!$B$2:$C$33,2)</f>
        <v>USA</v>
      </c>
      <c r="L35" t="s">
        <v>737</v>
      </c>
      <c r="M35">
        <v>34</v>
      </c>
      <c r="N35" s="2">
        <f t="shared" si="1"/>
        <v>0.79166666666666663</v>
      </c>
      <c r="O35" s="2">
        <f t="shared" si="2"/>
        <v>0.83333333333333326</v>
      </c>
      <c r="P35">
        <v>-3</v>
      </c>
      <c r="U35" t="s">
        <v>667</v>
      </c>
    </row>
    <row r="36" spans="1:21" x14ac:dyDescent="0.25">
      <c r="A36">
        <v>36</v>
      </c>
      <c r="B36" t="s">
        <v>40</v>
      </c>
      <c r="C36" t="s">
        <v>32</v>
      </c>
      <c r="D36" s="4">
        <f t="shared" si="0"/>
        <v>44894</v>
      </c>
      <c r="E36" s="1">
        <v>44894</v>
      </c>
      <c r="F36" s="41">
        <v>0.75</v>
      </c>
      <c r="G36" t="s">
        <v>2</v>
      </c>
      <c r="H36" t="str">
        <f>VLOOKUP(G36,Config!$B$2:$C$33,2)</f>
        <v>Netherlands</v>
      </c>
      <c r="I36" s="18" t="str">
        <f>CONCATENATE(VLOOKUP("Match",languages!B$75:I$75,VLOOKUP(Wallchart!P$4,languages!B$81:C$87,2))," ",U36)</f>
        <v xml:space="preserve">Match 33 </v>
      </c>
      <c r="J36" t="s">
        <v>47</v>
      </c>
      <c r="K36" t="str">
        <f>VLOOKUP(J36,Config!$B$2:$C$33,2)</f>
        <v>Qatar</v>
      </c>
      <c r="L36" t="s">
        <v>730</v>
      </c>
      <c r="M36">
        <v>35</v>
      </c>
      <c r="N36" s="2">
        <f t="shared" si="1"/>
        <v>0.625</v>
      </c>
      <c r="O36" s="2">
        <f t="shared" si="2"/>
        <v>0.66666666666666663</v>
      </c>
      <c r="P36">
        <v>-3</v>
      </c>
      <c r="U36" t="s">
        <v>668</v>
      </c>
    </row>
    <row r="37" spans="1:21" x14ac:dyDescent="0.25">
      <c r="A37">
        <v>37</v>
      </c>
      <c r="B37" t="s">
        <v>40</v>
      </c>
      <c r="C37" t="s">
        <v>32</v>
      </c>
      <c r="D37" s="4">
        <f t="shared" si="0"/>
        <v>44894</v>
      </c>
      <c r="E37" s="1">
        <v>44894</v>
      </c>
      <c r="F37" s="41">
        <v>0.75</v>
      </c>
      <c r="G37" t="s">
        <v>0</v>
      </c>
      <c r="H37" t="str">
        <f>VLOOKUP(G37,Config!$B$2:$C$33,2)</f>
        <v>Ecuador</v>
      </c>
      <c r="I37" s="18" t="str">
        <f>CONCATENATE(VLOOKUP("Match",languages!B$75:I$75,VLOOKUP(Wallchart!P$4,languages!B$81:C$87,2))," ",U37)</f>
        <v xml:space="preserve">Match 34 </v>
      </c>
      <c r="J37" t="s">
        <v>1</v>
      </c>
      <c r="K37" t="str">
        <f>VLOOKUP(J37,Config!$B$2:$C$33,2)</f>
        <v>Senegal</v>
      </c>
      <c r="L37" t="s">
        <v>731</v>
      </c>
      <c r="M37">
        <v>36</v>
      </c>
      <c r="N37" s="2">
        <f t="shared" si="1"/>
        <v>0.625</v>
      </c>
      <c r="O37" s="2">
        <f t="shared" si="2"/>
        <v>0.66666666666666663</v>
      </c>
      <c r="P37">
        <v>-3</v>
      </c>
      <c r="U37" t="s">
        <v>669</v>
      </c>
    </row>
    <row r="38" spans="1:21" x14ac:dyDescent="0.25">
      <c r="A38">
        <v>38</v>
      </c>
      <c r="B38" t="s">
        <v>40</v>
      </c>
      <c r="C38" t="s">
        <v>34</v>
      </c>
      <c r="D38" s="4">
        <f t="shared" si="0"/>
        <v>44895</v>
      </c>
      <c r="E38" s="1">
        <v>44895</v>
      </c>
      <c r="F38" s="41">
        <v>0.75</v>
      </c>
      <c r="G38" t="s">
        <v>14</v>
      </c>
      <c r="H38" t="str">
        <f>VLOOKUP(G38,Config!$B$2:$C$33,2)</f>
        <v>Tunisia</v>
      </c>
      <c r="I38" s="18" t="str">
        <f>CONCATENATE(VLOOKUP("Match",languages!B$75:I$75,VLOOKUP(Wallchart!P$4,languages!B$81:C$87,2))," ",U38)</f>
        <v xml:space="preserve">Match 39 </v>
      </c>
      <c r="J38" t="s">
        <v>11</v>
      </c>
      <c r="K38" t="str">
        <f>VLOOKUP(J38,Config!$B$2:$C$33,2)</f>
        <v>France</v>
      </c>
      <c r="L38" t="s">
        <v>736</v>
      </c>
      <c r="M38">
        <v>37</v>
      </c>
      <c r="N38" s="2">
        <f t="shared" si="1"/>
        <v>0.625</v>
      </c>
      <c r="O38" s="2">
        <f t="shared" si="2"/>
        <v>0.66666666666666663</v>
      </c>
      <c r="P38">
        <v>-3</v>
      </c>
      <c r="U38" t="s">
        <v>670</v>
      </c>
    </row>
    <row r="39" spans="1:21" x14ac:dyDescent="0.25">
      <c r="A39">
        <v>39</v>
      </c>
      <c r="B39" t="s">
        <v>40</v>
      </c>
      <c r="C39" t="s">
        <v>34</v>
      </c>
      <c r="D39" s="4">
        <f t="shared" si="0"/>
        <v>44895</v>
      </c>
      <c r="E39" s="1">
        <v>44895</v>
      </c>
      <c r="F39" s="41">
        <v>0.75</v>
      </c>
      <c r="G39" t="s">
        <v>12</v>
      </c>
      <c r="H39" t="str">
        <f>VLOOKUP(G39,Config!$B$2:$C$33,2)</f>
        <v>Australia</v>
      </c>
      <c r="I39" s="18" t="str">
        <f>CONCATENATE(VLOOKUP("Match",languages!B$75:I$75,VLOOKUP(Wallchart!P$4,languages!B$81:C$87,2))," ",U39)</f>
        <v xml:space="preserve">Match 40 </v>
      </c>
      <c r="J39" t="s">
        <v>13</v>
      </c>
      <c r="K39" t="str">
        <f>VLOOKUP(J39,Config!$B$2:$C$33,2)</f>
        <v>Denmark</v>
      </c>
      <c r="L39" t="s">
        <v>734</v>
      </c>
      <c r="M39">
        <v>38</v>
      </c>
      <c r="N39" s="2">
        <f t="shared" si="1"/>
        <v>0.625</v>
      </c>
      <c r="O39" s="2">
        <f t="shared" si="2"/>
        <v>0.66666666666666663</v>
      </c>
      <c r="P39">
        <v>-3</v>
      </c>
      <c r="U39" t="s">
        <v>671</v>
      </c>
    </row>
    <row r="40" spans="1:21" x14ac:dyDescent="0.25">
      <c r="A40">
        <v>40</v>
      </c>
      <c r="B40" t="s">
        <v>40</v>
      </c>
      <c r="C40" t="s">
        <v>33</v>
      </c>
      <c r="D40" s="4">
        <f t="shared" si="0"/>
        <v>44895</v>
      </c>
      <c r="E40" s="1">
        <v>44895</v>
      </c>
      <c r="F40" s="41">
        <v>0.91666666666666663</v>
      </c>
      <c r="G40" t="s">
        <v>10</v>
      </c>
      <c r="H40" t="str">
        <f>VLOOKUP(G40,Config!$B$2:$C$33,2)</f>
        <v>Poland</v>
      </c>
      <c r="I40" s="18" t="str">
        <f>CONCATENATE(VLOOKUP("Match",languages!B$75:I$75,VLOOKUP(Wallchart!P$4,languages!B$81:C$87,2))," ",U40)</f>
        <v xml:space="preserve">Match 37 </v>
      </c>
      <c r="J40" t="s">
        <v>7</v>
      </c>
      <c r="K40" t="str">
        <f>VLOOKUP(J40,Config!$B$2:$C$33,2)</f>
        <v>Argentina</v>
      </c>
      <c r="L40" t="s">
        <v>735</v>
      </c>
      <c r="M40">
        <v>39</v>
      </c>
      <c r="N40" s="2">
        <f t="shared" si="1"/>
        <v>0.79166666666666663</v>
      </c>
      <c r="O40" s="2">
        <f t="shared" si="2"/>
        <v>0.83333333333333326</v>
      </c>
      <c r="P40">
        <v>-3</v>
      </c>
      <c r="U40" t="s">
        <v>672</v>
      </c>
    </row>
    <row r="41" spans="1:21" x14ac:dyDescent="0.25">
      <c r="A41">
        <v>41</v>
      </c>
      <c r="B41" t="s">
        <v>40</v>
      </c>
      <c r="C41" t="s">
        <v>33</v>
      </c>
      <c r="D41" s="4">
        <f t="shared" si="0"/>
        <v>44895</v>
      </c>
      <c r="E41" s="1">
        <v>44895</v>
      </c>
      <c r="F41" s="41">
        <v>0.91666666666666663</v>
      </c>
      <c r="G41" t="s">
        <v>8</v>
      </c>
      <c r="H41" t="str">
        <f>VLOOKUP(G41,Config!$B$2:$C$33,2)</f>
        <v>Saudi Arabia</v>
      </c>
      <c r="I41" s="18" t="str">
        <f>CONCATENATE(VLOOKUP("Match",languages!B$75:I$75,VLOOKUP(Wallchart!P$4,languages!B$81:C$87,2))," ",U41)</f>
        <v xml:space="preserve">Match 38 </v>
      </c>
      <c r="J41" t="s">
        <v>9</v>
      </c>
      <c r="K41" t="str">
        <f>VLOOKUP(J41,Config!$B$2:$C$33,2)</f>
        <v>Mexico</v>
      </c>
      <c r="L41" t="s">
        <v>733</v>
      </c>
      <c r="M41">
        <v>40</v>
      </c>
      <c r="N41" s="2">
        <f t="shared" si="1"/>
        <v>0.79166666666666663</v>
      </c>
      <c r="O41" s="2">
        <f t="shared" si="2"/>
        <v>0.83333333333333326</v>
      </c>
      <c r="P41">
        <v>-3</v>
      </c>
      <c r="U41" t="s">
        <v>673</v>
      </c>
    </row>
    <row r="42" spans="1:21" x14ac:dyDescent="0.25">
      <c r="A42">
        <v>42</v>
      </c>
      <c r="B42" t="s">
        <v>40</v>
      </c>
      <c r="C42" t="s">
        <v>36</v>
      </c>
      <c r="D42" s="4">
        <f t="shared" si="0"/>
        <v>44896</v>
      </c>
      <c r="E42" s="1">
        <v>44896</v>
      </c>
      <c r="F42" s="41">
        <v>0.75</v>
      </c>
      <c r="G42" t="s">
        <v>22</v>
      </c>
      <c r="H42" t="str">
        <f>VLOOKUP(G42,Config!$B$2:$C$33,2)</f>
        <v>Croatia</v>
      </c>
      <c r="I42" s="18" t="str">
        <f>CONCATENATE(VLOOKUP("Match",languages!B$75:I$75,VLOOKUP(Wallchart!P$4,languages!B$81:C$87,2))," ",U42)</f>
        <v xml:space="preserve">Match 43 </v>
      </c>
      <c r="J42" t="s">
        <v>19</v>
      </c>
      <c r="K42" t="str">
        <f>VLOOKUP(J42,Config!$B$2:$C$33,2)</f>
        <v>Belgium</v>
      </c>
      <c r="L42" t="s">
        <v>732</v>
      </c>
      <c r="M42">
        <v>41</v>
      </c>
      <c r="N42" s="2">
        <f t="shared" si="1"/>
        <v>0.625</v>
      </c>
      <c r="O42" s="2">
        <f t="shared" si="2"/>
        <v>0.66666666666666663</v>
      </c>
      <c r="P42">
        <v>-3</v>
      </c>
      <c r="U42" t="s">
        <v>674</v>
      </c>
    </row>
    <row r="43" spans="1:21" x14ac:dyDescent="0.25">
      <c r="A43">
        <v>43</v>
      </c>
      <c r="B43" t="s">
        <v>40</v>
      </c>
      <c r="C43" t="s">
        <v>36</v>
      </c>
      <c r="D43" s="4">
        <f t="shared" si="0"/>
        <v>44896</v>
      </c>
      <c r="E43" s="1">
        <v>44896</v>
      </c>
      <c r="F43" s="41">
        <v>0.75</v>
      </c>
      <c r="G43" t="s">
        <v>20</v>
      </c>
      <c r="H43" t="str">
        <f>VLOOKUP(G43,Config!$B$2:$C$33,2)</f>
        <v>Canada</v>
      </c>
      <c r="I43" s="18" t="str">
        <f>CONCATENATE(VLOOKUP("Match",languages!B$75:I$75,VLOOKUP(Wallchart!P$4,languages!B$81:C$87,2))," ",U43)</f>
        <v xml:space="preserve">Match 44 </v>
      </c>
      <c r="J43" t="s">
        <v>21</v>
      </c>
      <c r="K43" t="str">
        <f>VLOOKUP(J43,Config!$B$2:$C$33,2)</f>
        <v>Morocco</v>
      </c>
      <c r="L43" t="s">
        <v>737</v>
      </c>
      <c r="M43">
        <v>42</v>
      </c>
      <c r="N43" s="2">
        <f t="shared" si="1"/>
        <v>0.625</v>
      </c>
      <c r="O43" s="2">
        <f t="shared" si="2"/>
        <v>0.66666666666666663</v>
      </c>
      <c r="P43">
        <v>-3</v>
      </c>
      <c r="U43" t="s">
        <v>675</v>
      </c>
    </row>
    <row r="44" spans="1:21" x14ac:dyDescent="0.25">
      <c r="A44">
        <v>44</v>
      </c>
      <c r="B44" t="s">
        <v>40</v>
      </c>
      <c r="C44" t="s">
        <v>35</v>
      </c>
      <c r="D44" s="4">
        <f t="shared" si="0"/>
        <v>44896</v>
      </c>
      <c r="E44" s="1">
        <v>44896</v>
      </c>
      <c r="F44" s="41">
        <v>0.91666666666666663</v>
      </c>
      <c r="G44" t="s">
        <v>18</v>
      </c>
      <c r="H44" t="str">
        <f>VLOOKUP(G44,Config!$B$2:$C$33,2)</f>
        <v>Japan</v>
      </c>
      <c r="I44" s="18" t="str">
        <f>CONCATENATE(VLOOKUP("Match",languages!B$75:I$75,VLOOKUP(Wallchart!P$4,languages!B$81:C$87,2))," ",U44)</f>
        <v xml:space="preserve">Match 41 </v>
      </c>
      <c r="J44" t="s">
        <v>15</v>
      </c>
      <c r="K44" t="str">
        <f>VLOOKUP(J44,Config!$B$2:$C$33,2)</f>
        <v>Spain</v>
      </c>
      <c r="L44" t="s">
        <v>731</v>
      </c>
      <c r="M44">
        <v>43</v>
      </c>
      <c r="N44" s="2">
        <f t="shared" si="1"/>
        <v>0.79166666666666663</v>
      </c>
      <c r="O44" s="2">
        <f t="shared" si="2"/>
        <v>0.83333333333333326</v>
      </c>
      <c r="P44">
        <v>-3</v>
      </c>
      <c r="U44" t="s">
        <v>676</v>
      </c>
    </row>
    <row r="45" spans="1:21" x14ac:dyDescent="0.25">
      <c r="A45">
        <v>45</v>
      </c>
      <c r="B45" t="s">
        <v>40</v>
      </c>
      <c r="C45" t="s">
        <v>35</v>
      </c>
      <c r="D45" s="4">
        <f t="shared" si="0"/>
        <v>44896</v>
      </c>
      <c r="E45" s="1">
        <v>44896</v>
      </c>
      <c r="F45" s="41">
        <v>0.91666666666666663</v>
      </c>
      <c r="G45" t="s">
        <v>16</v>
      </c>
      <c r="H45" t="str">
        <f>VLOOKUP(G45,Config!$B$2:$C$33,2)</f>
        <v>Costa Rica</v>
      </c>
      <c r="I45" s="18" t="str">
        <f>CONCATENATE(VLOOKUP("Match",languages!B$75:I$75,VLOOKUP(Wallchart!P$4,languages!B$81:C$87,2))," ",U45)</f>
        <v xml:space="preserve">Match 42 </v>
      </c>
      <c r="J45" t="s">
        <v>17</v>
      </c>
      <c r="K45" t="str">
        <f>VLOOKUP(J45,Config!$B$2:$C$33,2)</f>
        <v>Germany</v>
      </c>
      <c r="L45" t="s">
        <v>730</v>
      </c>
      <c r="M45">
        <v>44</v>
      </c>
      <c r="N45" s="2">
        <f t="shared" si="1"/>
        <v>0.79166666666666663</v>
      </c>
      <c r="O45" s="2">
        <f t="shared" si="2"/>
        <v>0.83333333333333326</v>
      </c>
      <c r="P45">
        <v>-3</v>
      </c>
      <c r="U45" t="s">
        <v>677</v>
      </c>
    </row>
    <row r="46" spans="1:21" x14ac:dyDescent="0.25">
      <c r="A46">
        <v>46</v>
      </c>
      <c r="B46" t="s">
        <v>40</v>
      </c>
      <c r="C46" t="s">
        <v>37</v>
      </c>
      <c r="D46" s="4">
        <f t="shared" si="0"/>
        <v>44897</v>
      </c>
      <c r="E46" s="1">
        <v>44897</v>
      </c>
      <c r="F46" s="41">
        <v>0.91666666666666663</v>
      </c>
      <c r="G46" t="s">
        <v>26</v>
      </c>
      <c r="H46" t="str">
        <f>VLOOKUP(G46,Config!$B$2:$C$33,2)</f>
        <v>Cameroon</v>
      </c>
      <c r="I46" s="18" t="str">
        <f>CONCATENATE(VLOOKUP("Match",languages!B$75:I$75,VLOOKUP(Wallchart!P$4,languages!B$81:C$87,2))," ",U46)</f>
        <v xml:space="preserve">Match 45 </v>
      </c>
      <c r="J46" t="s">
        <v>23</v>
      </c>
      <c r="K46" t="str">
        <f>VLOOKUP(J46,Config!$B$2:$C$33,2)</f>
        <v>Brazil</v>
      </c>
      <c r="L46" t="s">
        <v>733</v>
      </c>
      <c r="M46">
        <v>45</v>
      </c>
      <c r="N46" s="2">
        <f t="shared" si="1"/>
        <v>0.79166666666666663</v>
      </c>
      <c r="O46" s="2">
        <f t="shared" si="2"/>
        <v>0.83333333333333326</v>
      </c>
      <c r="P46">
        <v>-3</v>
      </c>
      <c r="U46" t="s">
        <v>678</v>
      </c>
    </row>
    <row r="47" spans="1:21" x14ac:dyDescent="0.25">
      <c r="A47">
        <v>47</v>
      </c>
      <c r="B47" t="s">
        <v>40</v>
      </c>
      <c r="C47" t="s">
        <v>37</v>
      </c>
      <c r="D47" s="4">
        <f t="shared" si="0"/>
        <v>44897</v>
      </c>
      <c r="E47" s="1">
        <v>44897</v>
      </c>
      <c r="F47" s="41">
        <v>0.91666666666666663</v>
      </c>
      <c r="G47" t="s">
        <v>24</v>
      </c>
      <c r="H47" t="str">
        <f>VLOOKUP(G47,Config!$B$2:$C$33,2)</f>
        <v>Serbia</v>
      </c>
      <c r="I47" s="18" t="str">
        <f>CONCATENATE(VLOOKUP("Match",languages!B$75:I$75,VLOOKUP(Wallchart!P$4,languages!B$81:C$87,2))," ",U47)</f>
        <v xml:space="preserve">Match 46 </v>
      </c>
      <c r="J47" t="s">
        <v>25</v>
      </c>
      <c r="K47" t="str">
        <f>VLOOKUP(J47,Config!$B$2:$C$33,2)</f>
        <v>Switzerland</v>
      </c>
      <c r="L47" t="s">
        <v>735</v>
      </c>
      <c r="M47">
        <v>46</v>
      </c>
      <c r="N47" s="2">
        <f t="shared" si="1"/>
        <v>0.79166666666666663</v>
      </c>
      <c r="O47" s="2">
        <f t="shared" si="2"/>
        <v>0.83333333333333326</v>
      </c>
      <c r="P47">
        <v>-3</v>
      </c>
      <c r="U47" t="s">
        <v>679</v>
      </c>
    </row>
    <row r="48" spans="1:21" x14ac:dyDescent="0.25">
      <c r="A48">
        <v>48</v>
      </c>
      <c r="B48" t="s">
        <v>40</v>
      </c>
      <c r="C48" t="s">
        <v>38</v>
      </c>
      <c r="D48" s="4">
        <f t="shared" si="0"/>
        <v>44897</v>
      </c>
      <c r="E48" s="1">
        <v>44897</v>
      </c>
      <c r="F48" s="41">
        <v>0.75</v>
      </c>
      <c r="G48" t="s">
        <v>30</v>
      </c>
      <c r="H48" t="str">
        <f>VLOOKUP(G48,Config!$B$2:$C$33,2)</f>
        <v>Korea Republic</v>
      </c>
      <c r="I48" s="18" t="str">
        <f>CONCATENATE(VLOOKUP("Match",languages!B$75:I$75,VLOOKUP(Wallchart!P$4,languages!B$81:C$87,2))," ",U48)</f>
        <v>Match 47</v>
      </c>
      <c r="J48" t="s">
        <v>27</v>
      </c>
      <c r="K48" t="str">
        <f>VLOOKUP(J48,Config!$B$2:$C$33,2)</f>
        <v>Portugal</v>
      </c>
      <c r="L48" t="s">
        <v>736</v>
      </c>
      <c r="M48">
        <v>47</v>
      </c>
      <c r="N48" s="2">
        <f t="shared" si="1"/>
        <v>0.625</v>
      </c>
      <c r="O48" s="2">
        <f t="shared" si="2"/>
        <v>0.66666666666666663</v>
      </c>
      <c r="P48">
        <v>-3</v>
      </c>
      <c r="U48" s="179" t="s">
        <v>686</v>
      </c>
    </row>
    <row r="49" spans="1:21" x14ac:dyDescent="0.25">
      <c r="A49">
        <v>49</v>
      </c>
      <c r="B49" t="s">
        <v>40</v>
      </c>
      <c r="C49" t="s">
        <v>38</v>
      </c>
      <c r="D49" s="4">
        <f t="shared" si="0"/>
        <v>44897</v>
      </c>
      <c r="E49" s="1">
        <v>44897</v>
      </c>
      <c r="F49" s="41">
        <v>0.75</v>
      </c>
      <c r="G49" t="s">
        <v>28</v>
      </c>
      <c r="H49" t="str">
        <f>VLOOKUP(G49,Config!$B$2:$C$33,2)</f>
        <v>Ghana</v>
      </c>
      <c r="I49" s="18" t="str">
        <f>CONCATENATE(VLOOKUP("Match",languages!B$75:I$75,VLOOKUP(Wallchart!P$4,languages!B$81:C$87,2))," ",U49)</f>
        <v>Match 48</v>
      </c>
      <c r="J49" t="s">
        <v>29</v>
      </c>
      <c r="K49" t="str">
        <f>VLOOKUP(J49,Config!$B$2:$C$33,2)</f>
        <v>Uruguay</v>
      </c>
      <c r="L49" t="s">
        <v>734</v>
      </c>
      <c r="M49">
        <v>48</v>
      </c>
      <c r="N49" s="2">
        <f t="shared" si="1"/>
        <v>0.625</v>
      </c>
      <c r="O49" s="2">
        <f t="shared" si="2"/>
        <v>0.66666666666666663</v>
      </c>
      <c r="P49">
        <v>-3</v>
      </c>
      <c r="U49" s="179" t="s">
        <v>687</v>
      </c>
    </row>
    <row r="50" spans="1:21" x14ac:dyDescent="0.25">
      <c r="A50">
        <v>50</v>
      </c>
      <c r="B50" t="s">
        <v>115</v>
      </c>
      <c r="C50" t="s">
        <v>77</v>
      </c>
      <c r="D50" s="4">
        <f t="shared" si="0"/>
        <v>44898</v>
      </c>
      <c r="E50" s="1">
        <v>44898</v>
      </c>
      <c r="F50" s="41">
        <v>0.75</v>
      </c>
      <c r="G50" t="s">
        <v>78</v>
      </c>
      <c r="H50" t="str">
        <f>VLOOKUP(G50,Config!B$34:C$69,2)</f>
        <v>Winner Group A</v>
      </c>
      <c r="I50" s="18" t="str">
        <f>CONCATENATE(VLOOKUP("Match",languages!B$75:I$75,VLOOKUP(Wallchart!P$4,languages!B$81:C$87,2))," ",U50)</f>
        <v>Match 49</v>
      </c>
      <c r="J50" t="s">
        <v>79</v>
      </c>
      <c r="K50" t="str">
        <f>VLOOKUP(J50,Config!B$34:C$69,2)</f>
        <v>Runner-up Group B</v>
      </c>
      <c r="L50" t="s">
        <v>731</v>
      </c>
      <c r="M50">
        <v>49</v>
      </c>
      <c r="N50" s="2">
        <f t="shared" si="1"/>
        <v>0.625</v>
      </c>
      <c r="O50" s="2">
        <f t="shared" si="2"/>
        <v>0.66666666666666663</v>
      </c>
      <c r="P50">
        <v>-3</v>
      </c>
      <c r="U50" s="179" t="s">
        <v>688</v>
      </c>
    </row>
    <row r="51" spans="1:21" x14ac:dyDescent="0.25">
      <c r="A51">
        <v>51</v>
      </c>
      <c r="B51" t="s">
        <v>115</v>
      </c>
      <c r="C51" t="s">
        <v>77</v>
      </c>
      <c r="D51" s="4">
        <f t="shared" si="0"/>
        <v>44898</v>
      </c>
      <c r="E51" s="1">
        <f>E50</f>
        <v>44898</v>
      </c>
      <c r="F51" s="41">
        <v>0.91666666666666663</v>
      </c>
      <c r="G51" t="s">
        <v>80</v>
      </c>
      <c r="H51" t="str">
        <f>VLOOKUP(G51,Config!B$34:C$69,2)</f>
        <v>Winner Group C</v>
      </c>
      <c r="I51" s="18" t="str">
        <f>CONCATENATE(VLOOKUP("Match",languages!B$75:I$75,VLOOKUP(Wallchart!P$4,languages!B$81:C$87,2))," ",U51)</f>
        <v>Match 50</v>
      </c>
      <c r="J51" t="s">
        <v>81</v>
      </c>
      <c r="K51" t="str">
        <f>VLOOKUP(J51,Config!B$34:C$69,2)</f>
        <v>Runner-up Group D</v>
      </c>
      <c r="L51" t="s">
        <v>732</v>
      </c>
      <c r="M51">
        <v>50</v>
      </c>
      <c r="N51" s="2">
        <f t="shared" si="1"/>
        <v>0.79166666666666663</v>
      </c>
      <c r="O51" s="2">
        <f t="shared" si="2"/>
        <v>0.83333333333333326</v>
      </c>
      <c r="P51">
        <v>-3</v>
      </c>
      <c r="U51" s="179" t="s">
        <v>689</v>
      </c>
    </row>
    <row r="52" spans="1:21" x14ac:dyDescent="0.25">
      <c r="A52">
        <v>52</v>
      </c>
      <c r="B52" t="s">
        <v>115</v>
      </c>
      <c r="C52" t="s">
        <v>77</v>
      </c>
      <c r="D52" s="4">
        <f t="shared" si="0"/>
        <v>44899</v>
      </c>
      <c r="E52" s="1">
        <f>E51+1</f>
        <v>44899</v>
      </c>
      <c r="F52" s="41">
        <v>0.91666666666666663</v>
      </c>
      <c r="G52" t="s">
        <v>82</v>
      </c>
      <c r="H52" t="str">
        <f>VLOOKUP(G52,Config!B$34:C$69,2)</f>
        <v>Winner Group B</v>
      </c>
      <c r="I52" s="18" t="str">
        <f>CONCATENATE(VLOOKUP("Match",languages!B$75:I$75,VLOOKUP(Wallchart!P$4,languages!B$81:C$87,2))," ",U52)</f>
        <v>Match 51</v>
      </c>
      <c r="J52" t="s">
        <v>83</v>
      </c>
      <c r="K52" t="str">
        <f>VLOOKUP(J52,Config!B$34:C$69,2)</f>
        <v>Runner-up Group A</v>
      </c>
      <c r="L52" t="s">
        <v>730</v>
      </c>
      <c r="M52">
        <v>51</v>
      </c>
      <c r="N52" s="2">
        <f t="shared" si="1"/>
        <v>0.79166666666666663</v>
      </c>
      <c r="O52" s="2">
        <f t="shared" si="2"/>
        <v>0.83333333333333326</v>
      </c>
      <c r="P52">
        <v>-3</v>
      </c>
      <c r="U52" s="179" t="s">
        <v>690</v>
      </c>
    </row>
    <row r="53" spans="1:21" x14ac:dyDescent="0.25">
      <c r="A53">
        <v>53</v>
      </c>
      <c r="B53" t="s">
        <v>115</v>
      </c>
      <c r="C53" t="s">
        <v>77</v>
      </c>
      <c r="D53" s="4">
        <f t="shared" si="0"/>
        <v>44899</v>
      </c>
      <c r="E53" s="1">
        <f>E52</f>
        <v>44899</v>
      </c>
      <c r="F53" s="41">
        <v>0.75</v>
      </c>
      <c r="G53" t="s">
        <v>84</v>
      </c>
      <c r="H53" t="str">
        <f>VLOOKUP(G53,Config!B$34:C$69,2)</f>
        <v>Winner Group D</v>
      </c>
      <c r="I53" s="18" t="str">
        <f>CONCATENATE(VLOOKUP("Match",languages!B$75:I$75,VLOOKUP(Wallchart!P$4,languages!B$81:C$87,2))," ",U53)</f>
        <v>Match 52</v>
      </c>
      <c r="J53" t="s">
        <v>85</v>
      </c>
      <c r="K53" t="str">
        <f>VLOOKUP(J53,Config!B$34:C$69,2)</f>
        <v>Runner-up Group C</v>
      </c>
      <c r="L53" t="s">
        <v>737</v>
      </c>
      <c r="M53">
        <v>52</v>
      </c>
      <c r="N53" s="2">
        <f t="shared" si="1"/>
        <v>0.625</v>
      </c>
      <c r="O53" s="2">
        <f t="shared" si="2"/>
        <v>0.66666666666666663</v>
      </c>
      <c r="P53">
        <v>-3</v>
      </c>
      <c r="U53" s="179" t="s">
        <v>691</v>
      </c>
    </row>
    <row r="54" spans="1:21" x14ac:dyDescent="0.25">
      <c r="A54">
        <v>54</v>
      </c>
      <c r="B54" t="s">
        <v>115</v>
      </c>
      <c r="C54" t="s">
        <v>77</v>
      </c>
      <c r="D54" s="4">
        <f t="shared" si="0"/>
        <v>44900</v>
      </c>
      <c r="E54" s="1">
        <f t="shared" ref="E54" si="5">E53+1</f>
        <v>44900</v>
      </c>
      <c r="F54" s="41">
        <v>0.75</v>
      </c>
      <c r="G54" t="s">
        <v>86</v>
      </c>
      <c r="H54" t="str">
        <f>VLOOKUP(G54,Config!B$34:C$69,2)</f>
        <v>Winner Group E</v>
      </c>
      <c r="I54" s="18" t="str">
        <f>CONCATENATE(VLOOKUP("Match",languages!B$75:I$75,VLOOKUP(Wallchart!P$4,languages!B$81:C$87,2))," ",U54)</f>
        <v>Match 53</v>
      </c>
      <c r="J54" t="s">
        <v>87</v>
      </c>
      <c r="K54" t="str">
        <f>VLOOKUP(J54,Config!B$34:C$69,2)</f>
        <v>Runner-up Group F</v>
      </c>
      <c r="L54" t="s">
        <v>734</v>
      </c>
      <c r="M54">
        <v>53</v>
      </c>
      <c r="N54" s="2">
        <f t="shared" si="1"/>
        <v>0.625</v>
      </c>
      <c r="O54" s="2">
        <f t="shared" si="2"/>
        <v>0.66666666666666663</v>
      </c>
      <c r="P54">
        <v>-3</v>
      </c>
      <c r="U54" s="179" t="s">
        <v>692</v>
      </c>
    </row>
    <row r="55" spans="1:21" x14ac:dyDescent="0.25">
      <c r="A55">
        <v>55</v>
      </c>
      <c r="B55" t="s">
        <v>115</v>
      </c>
      <c r="C55" t="s">
        <v>77</v>
      </c>
      <c r="D55" s="4">
        <f t="shared" si="0"/>
        <v>44900</v>
      </c>
      <c r="E55" s="1">
        <f t="shared" ref="E55" si="6">E54</f>
        <v>44900</v>
      </c>
      <c r="F55" s="41">
        <v>0.91666666666666663</v>
      </c>
      <c r="G55" t="s">
        <v>88</v>
      </c>
      <c r="H55" t="str">
        <f>VLOOKUP(G55,Config!B$34:C$69,2)</f>
        <v>Winner Group G</v>
      </c>
      <c r="I55" s="18" t="str">
        <f>CONCATENATE(VLOOKUP("Match",languages!B$75:I$75,VLOOKUP(Wallchart!P$4,languages!B$81:C$87,2))," ",U55)</f>
        <v>Match 54</v>
      </c>
      <c r="J55" t="s">
        <v>89</v>
      </c>
      <c r="K55" t="str">
        <f>VLOOKUP(J55,Config!B$34:C$69,2)</f>
        <v>Runner-up Group H</v>
      </c>
      <c r="L55" t="s">
        <v>735</v>
      </c>
      <c r="M55">
        <v>54</v>
      </c>
      <c r="N55" s="2">
        <f t="shared" si="1"/>
        <v>0.79166666666666663</v>
      </c>
      <c r="O55" s="2">
        <f t="shared" si="2"/>
        <v>0.83333333333333326</v>
      </c>
      <c r="P55">
        <v>-3</v>
      </c>
      <c r="U55" s="179" t="s">
        <v>693</v>
      </c>
    </row>
    <row r="56" spans="1:21" x14ac:dyDescent="0.25">
      <c r="A56">
        <v>56</v>
      </c>
      <c r="B56" t="s">
        <v>115</v>
      </c>
      <c r="C56" t="s">
        <v>77</v>
      </c>
      <c r="D56" s="4">
        <f t="shared" si="0"/>
        <v>44901</v>
      </c>
      <c r="E56" s="1">
        <f t="shared" ref="E56" si="7">E55+1</f>
        <v>44901</v>
      </c>
      <c r="F56" s="41">
        <v>0.75</v>
      </c>
      <c r="G56" t="s">
        <v>90</v>
      </c>
      <c r="H56" t="str">
        <f>VLOOKUP(G56,Config!B$34:C$69,2)</f>
        <v>Winner Group F</v>
      </c>
      <c r="I56" s="18" t="str">
        <f>CONCATENATE(VLOOKUP("Match",languages!B$75:I$75,VLOOKUP(Wallchart!P$4,languages!B$81:C$87,2))," ",U56)</f>
        <v>Match 55</v>
      </c>
      <c r="J56" t="s">
        <v>91</v>
      </c>
      <c r="K56" t="str">
        <f>VLOOKUP(J56,Config!B$34:C$69,2)</f>
        <v>Runner-up Group E</v>
      </c>
      <c r="L56" t="s">
        <v>736</v>
      </c>
      <c r="M56">
        <v>55</v>
      </c>
      <c r="N56" s="2">
        <f t="shared" si="1"/>
        <v>0.625</v>
      </c>
      <c r="O56" s="2">
        <f t="shared" si="2"/>
        <v>0.66666666666666663</v>
      </c>
      <c r="P56">
        <v>-3</v>
      </c>
      <c r="U56" s="179" t="s">
        <v>694</v>
      </c>
    </row>
    <row r="57" spans="1:21" x14ac:dyDescent="0.25">
      <c r="A57">
        <v>57</v>
      </c>
      <c r="B57" t="s">
        <v>115</v>
      </c>
      <c r="C57" t="s">
        <v>77</v>
      </c>
      <c r="D57" s="4">
        <f t="shared" si="0"/>
        <v>44901</v>
      </c>
      <c r="E57" s="1">
        <f t="shared" ref="E57" si="8">E56</f>
        <v>44901</v>
      </c>
      <c r="F57" s="41">
        <v>0.91666666666666663</v>
      </c>
      <c r="G57" t="s">
        <v>92</v>
      </c>
      <c r="H57" t="str">
        <f>VLOOKUP(G57,Config!B$34:C$69,2)</f>
        <v>Winner Group H</v>
      </c>
      <c r="I57" s="18" t="str">
        <f>CONCATENATE(VLOOKUP("Match",languages!B$75:I$75,VLOOKUP(Wallchart!P$4,languages!B$81:C$87,2))," ",U57)</f>
        <v>Match 56</v>
      </c>
      <c r="J57" t="s">
        <v>93</v>
      </c>
      <c r="K57" t="str">
        <f>VLOOKUP(J57,Config!B$34:C$69,2)</f>
        <v>Runner-up Group G</v>
      </c>
      <c r="L57" t="s">
        <v>733</v>
      </c>
      <c r="M57">
        <v>56</v>
      </c>
      <c r="N57" s="2">
        <f t="shared" si="1"/>
        <v>0.79166666666666663</v>
      </c>
      <c r="O57" s="2">
        <f t="shared" si="2"/>
        <v>0.83333333333333326</v>
      </c>
      <c r="P57">
        <v>-3</v>
      </c>
      <c r="U57" s="179" t="s">
        <v>695</v>
      </c>
    </row>
    <row r="58" spans="1:21" x14ac:dyDescent="0.25">
      <c r="A58">
        <v>58</v>
      </c>
      <c r="B58" t="s">
        <v>115</v>
      </c>
      <c r="C58" t="s">
        <v>94</v>
      </c>
      <c r="D58" s="4">
        <f t="shared" si="0"/>
        <v>44904</v>
      </c>
      <c r="E58" s="1">
        <f>E57+3</f>
        <v>44904</v>
      </c>
      <c r="F58" s="41">
        <v>0.91666666666666663</v>
      </c>
      <c r="G58" t="s">
        <v>95</v>
      </c>
      <c r="H58" t="str">
        <f>VLOOKUP(G58,Config!B$34:C$69,2)</f>
        <v>Winner Match 49</v>
      </c>
      <c r="I58" s="18" t="str">
        <f>CONCATENATE(VLOOKUP("Match",languages!B$75:I$75,VLOOKUP(Wallchart!P$4,languages!B$81:C$87,2))," ",U58)</f>
        <v>Match 57</v>
      </c>
      <c r="J58" t="s">
        <v>96</v>
      </c>
      <c r="K58" t="str">
        <f>VLOOKUP(J58,Config!B$34:C$69,2)</f>
        <v>Winner Match 50</v>
      </c>
      <c r="L58" t="s">
        <v>733</v>
      </c>
      <c r="M58">
        <v>57</v>
      </c>
      <c r="N58" s="2">
        <f t="shared" si="1"/>
        <v>0.79166666666666663</v>
      </c>
      <c r="O58" s="2">
        <f t="shared" si="2"/>
        <v>0.83333333333333326</v>
      </c>
      <c r="P58">
        <v>-3</v>
      </c>
      <c r="U58" s="179" t="s">
        <v>696</v>
      </c>
    </row>
    <row r="59" spans="1:21" x14ac:dyDescent="0.25">
      <c r="A59">
        <v>59</v>
      </c>
      <c r="B59" t="s">
        <v>115</v>
      </c>
      <c r="C59" t="s">
        <v>94</v>
      </c>
      <c r="D59" s="4">
        <f t="shared" si="0"/>
        <v>44904</v>
      </c>
      <c r="E59" s="1">
        <f t="shared" ref="E59" si="9">E58</f>
        <v>44904</v>
      </c>
      <c r="F59" s="41">
        <v>0.75</v>
      </c>
      <c r="G59" t="s">
        <v>97</v>
      </c>
      <c r="H59" t="str">
        <f>VLOOKUP(G59,Config!B$34:C$69,2)</f>
        <v>Winner Match 53</v>
      </c>
      <c r="I59" s="18" t="str">
        <f>CONCATENATE(VLOOKUP("Match",languages!B$75:I$75,VLOOKUP(Wallchart!P$4,languages!B$81:C$87,2))," ",U59)</f>
        <v>Match 58</v>
      </c>
      <c r="J59" t="s">
        <v>98</v>
      </c>
      <c r="K59" t="str">
        <f>VLOOKUP(J59,Config!B$34:C$69,2)</f>
        <v>Winner Match 54</v>
      </c>
      <c r="L59" t="s">
        <v>736</v>
      </c>
      <c r="M59">
        <v>58</v>
      </c>
      <c r="N59" s="2">
        <f t="shared" si="1"/>
        <v>0.625</v>
      </c>
      <c r="O59" s="2">
        <f t="shared" si="2"/>
        <v>0.66666666666666663</v>
      </c>
      <c r="P59">
        <v>-3</v>
      </c>
      <c r="U59" s="179" t="s">
        <v>697</v>
      </c>
    </row>
    <row r="60" spans="1:21" x14ac:dyDescent="0.25">
      <c r="A60">
        <v>60</v>
      </c>
      <c r="B60" t="s">
        <v>115</v>
      </c>
      <c r="C60" t="s">
        <v>94</v>
      </c>
      <c r="D60" s="4">
        <f t="shared" si="0"/>
        <v>44905</v>
      </c>
      <c r="E60" s="1">
        <f t="shared" ref="E60" si="10">E59+1</f>
        <v>44905</v>
      </c>
      <c r="F60" s="41">
        <v>0.91666666666666663</v>
      </c>
      <c r="G60" t="s">
        <v>99</v>
      </c>
      <c r="H60" t="str">
        <f>VLOOKUP(G60,Config!B$34:C$69,2)</f>
        <v>Winner Match 51</v>
      </c>
      <c r="I60" s="18" t="str">
        <f>CONCATENATE(VLOOKUP("Match",languages!B$75:I$75,VLOOKUP(Wallchart!P$4,languages!B$81:C$87,2))," ",U60)</f>
        <v>Match 59</v>
      </c>
      <c r="J60" t="s">
        <v>100</v>
      </c>
      <c r="K60" t="str">
        <f>VLOOKUP(J60,Config!B$34:C$69,2)</f>
        <v>Winner Match 52</v>
      </c>
      <c r="L60" t="s">
        <v>730</v>
      </c>
      <c r="M60">
        <v>59</v>
      </c>
      <c r="N60" s="2">
        <f t="shared" si="1"/>
        <v>0.79166666666666663</v>
      </c>
      <c r="O60" s="2">
        <f t="shared" si="2"/>
        <v>0.83333333333333326</v>
      </c>
      <c r="P60">
        <v>-3</v>
      </c>
      <c r="U60" s="179" t="s">
        <v>698</v>
      </c>
    </row>
    <row r="61" spans="1:21" x14ac:dyDescent="0.25">
      <c r="A61">
        <v>61</v>
      </c>
      <c r="B61" t="s">
        <v>115</v>
      </c>
      <c r="C61" t="s">
        <v>94</v>
      </c>
      <c r="D61" s="4">
        <f t="shared" si="0"/>
        <v>44905</v>
      </c>
      <c r="E61" s="1">
        <f t="shared" ref="E61" si="11">E60</f>
        <v>44905</v>
      </c>
      <c r="F61" s="2">
        <v>0.75</v>
      </c>
      <c r="G61" t="s">
        <v>101</v>
      </c>
      <c r="H61" t="str">
        <f>VLOOKUP(G61,Config!B$34:C$69,2)</f>
        <v>Winner Match 55</v>
      </c>
      <c r="I61" s="18" t="str">
        <f>CONCATENATE(VLOOKUP("Match",languages!B$75:I$75,VLOOKUP(Wallchart!P$4,languages!B$81:C$87,2))," ",U61)</f>
        <v>Match 60</v>
      </c>
      <c r="J61" t="s">
        <v>102</v>
      </c>
      <c r="K61" t="str">
        <f>VLOOKUP(J61,Config!B$34:C$69,2)</f>
        <v>Winner Match 56</v>
      </c>
      <c r="L61" t="s">
        <v>737</v>
      </c>
      <c r="M61">
        <v>60</v>
      </c>
      <c r="N61" s="2">
        <f t="shared" si="1"/>
        <v>0.625</v>
      </c>
      <c r="O61" s="2">
        <f t="shared" si="2"/>
        <v>0.66666666666666663</v>
      </c>
      <c r="P61">
        <v>-3</v>
      </c>
      <c r="U61" s="179" t="s">
        <v>699</v>
      </c>
    </row>
    <row r="62" spans="1:21" x14ac:dyDescent="0.25">
      <c r="A62">
        <v>62</v>
      </c>
      <c r="B62" t="s">
        <v>115</v>
      </c>
      <c r="C62" t="s">
        <v>103</v>
      </c>
      <c r="D62" s="4">
        <f t="shared" si="0"/>
        <v>44908</v>
      </c>
      <c r="E62" s="1">
        <f>E61+3</f>
        <v>44908</v>
      </c>
      <c r="F62" s="2">
        <v>0.91666666666666663</v>
      </c>
      <c r="G62" t="s">
        <v>104</v>
      </c>
      <c r="H62" t="str">
        <f>VLOOKUP(G62,Config!B$34:C$69,2)</f>
        <v>Winner Match 57</v>
      </c>
      <c r="I62" s="18" t="str">
        <f>CONCATENATE(VLOOKUP("Match",languages!B$75:I$75,VLOOKUP(Wallchart!P$4,languages!B$81:C$87,2))," ",U62)</f>
        <v>Match 61</v>
      </c>
      <c r="J62" t="s">
        <v>105</v>
      </c>
      <c r="K62" t="str">
        <f>VLOOKUP(J62,Config!B$34:C$69,2)</f>
        <v>Winner Match 58</v>
      </c>
      <c r="L62" t="s">
        <v>733</v>
      </c>
      <c r="M62">
        <v>61</v>
      </c>
      <c r="N62" s="2">
        <f t="shared" si="1"/>
        <v>0.79166666666666663</v>
      </c>
      <c r="O62" s="2">
        <f t="shared" si="2"/>
        <v>0.83333333333333326</v>
      </c>
      <c r="P62">
        <v>-3</v>
      </c>
      <c r="U62" s="179" t="s">
        <v>700</v>
      </c>
    </row>
    <row r="63" spans="1:21" x14ac:dyDescent="0.25">
      <c r="A63">
        <v>63</v>
      </c>
      <c r="B63" t="s">
        <v>115</v>
      </c>
      <c r="C63" t="s">
        <v>103</v>
      </c>
      <c r="D63" s="4">
        <f t="shared" si="0"/>
        <v>44909</v>
      </c>
      <c r="E63" s="1">
        <f>E62+1</f>
        <v>44909</v>
      </c>
      <c r="F63" s="2">
        <v>0.91666666666666663</v>
      </c>
      <c r="G63" t="s">
        <v>106</v>
      </c>
      <c r="H63" t="str">
        <f>VLOOKUP(G63,Config!B$34:C$69,2)</f>
        <v>Winner Match 59</v>
      </c>
      <c r="I63" s="18" t="str">
        <f>CONCATENATE(VLOOKUP("Match",languages!B$75:I$75,VLOOKUP(Wallchart!P$4,languages!B$81:C$87,2))," ",U63)</f>
        <v>Match 62</v>
      </c>
      <c r="J63" t="s">
        <v>107</v>
      </c>
      <c r="K63" t="str">
        <f>VLOOKUP(J63,Config!B$34:C$69,2)</f>
        <v>Winner Match 60</v>
      </c>
      <c r="L63" t="s">
        <v>730</v>
      </c>
      <c r="M63">
        <v>62</v>
      </c>
      <c r="N63" s="2">
        <f t="shared" si="1"/>
        <v>0.79166666666666663</v>
      </c>
      <c r="O63" s="2">
        <f t="shared" si="2"/>
        <v>0.83333333333333326</v>
      </c>
      <c r="P63">
        <v>-3</v>
      </c>
      <c r="U63" s="179" t="s">
        <v>701</v>
      </c>
    </row>
    <row r="64" spans="1:21" x14ac:dyDescent="0.25">
      <c r="A64">
        <v>64</v>
      </c>
      <c r="B64" t="s">
        <v>115</v>
      </c>
      <c r="C64" t="s">
        <v>108</v>
      </c>
      <c r="D64" s="4">
        <f t="shared" si="0"/>
        <v>44912</v>
      </c>
      <c r="E64" s="1">
        <f>E63+3</f>
        <v>44912</v>
      </c>
      <c r="F64" s="2">
        <v>0.75</v>
      </c>
      <c r="G64" t="s">
        <v>109</v>
      </c>
      <c r="H64" t="str">
        <f>VLOOKUP(G64,Config!B$34:C$69,2)</f>
        <v>Loser Match 61</v>
      </c>
      <c r="I64" s="18" t="str">
        <f>CONCATENATE(VLOOKUP("Match",languages!B$75:I$75,VLOOKUP(Wallchart!P$4,languages!B$81:C$87,2))," ",U64)</f>
        <v>Match 63</v>
      </c>
      <c r="J64" t="s">
        <v>110</v>
      </c>
      <c r="K64" t="str">
        <f>VLOOKUP(J64,Config!B$34:C$69,2)</f>
        <v>Loser Match 62</v>
      </c>
      <c r="L64" t="s">
        <v>731</v>
      </c>
      <c r="M64">
        <v>63</v>
      </c>
      <c r="N64" s="2">
        <f t="shared" si="1"/>
        <v>0.625</v>
      </c>
      <c r="O64" s="2">
        <f t="shared" si="2"/>
        <v>0.66666666666666663</v>
      </c>
      <c r="P64">
        <v>-3</v>
      </c>
      <c r="U64" s="179" t="s">
        <v>702</v>
      </c>
    </row>
    <row r="65" spans="1:21" x14ac:dyDescent="0.25">
      <c r="A65">
        <v>65</v>
      </c>
      <c r="B65" t="s">
        <v>115</v>
      </c>
      <c r="C65" t="s">
        <v>111</v>
      </c>
      <c r="D65" s="4">
        <f t="shared" si="0"/>
        <v>44913</v>
      </c>
      <c r="E65" s="1">
        <f>E64+1</f>
        <v>44913</v>
      </c>
      <c r="F65" s="2">
        <v>0.75</v>
      </c>
      <c r="G65" t="s">
        <v>112</v>
      </c>
      <c r="H65" t="str">
        <f>VLOOKUP(G65,Config!B$34:C$69,2)</f>
        <v>Winner Match 61</v>
      </c>
      <c r="I65" s="18" t="str">
        <f>CONCATENATE(VLOOKUP("Match",languages!B$75:I$75,VLOOKUP(Wallchart!P$4,languages!B$81:C$87,2))," ",U65)</f>
        <v>Match 64</v>
      </c>
      <c r="J65" t="s">
        <v>113</v>
      </c>
      <c r="K65" t="str">
        <f>VLOOKUP(J65,Config!B$34:C$69,2)</f>
        <v>Winner Match 62</v>
      </c>
      <c r="L65" t="s">
        <v>733</v>
      </c>
      <c r="M65">
        <v>64</v>
      </c>
      <c r="N65" s="2">
        <f t="shared" si="1"/>
        <v>0.625</v>
      </c>
      <c r="O65" s="2">
        <f t="shared" si="2"/>
        <v>0.66666666666666663</v>
      </c>
      <c r="P65">
        <v>-3</v>
      </c>
      <c r="U65" s="179" t="s">
        <v>703</v>
      </c>
    </row>
    <row r="67" spans="1:21" x14ac:dyDescent="0.25">
      <c r="F67" s="1"/>
    </row>
    <row r="68" spans="1:21" x14ac:dyDescent="0.25">
      <c r="F68" s="2"/>
    </row>
    <row r="71" spans="1:21" x14ac:dyDescent="0.25">
      <c r="F71" s="1"/>
    </row>
    <row r="72" spans="1:21" x14ac:dyDescent="0.25">
      <c r="F72" s="2"/>
    </row>
    <row r="74" spans="1:21" x14ac:dyDescent="0.25">
      <c r="F74" s="1"/>
    </row>
    <row r="75" spans="1:21" x14ac:dyDescent="0.25">
      <c r="F75" s="2"/>
    </row>
    <row r="77" spans="1:21" x14ac:dyDescent="0.25">
      <c r="F77" s="1"/>
    </row>
    <row r="78" spans="1:21" x14ac:dyDescent="0.25">
      <c r="F78" s="2"/>
    </row>
    <row r="80" spans="1:21" x14ac:dyDescent="0.25">
      <c r="F80" s="1"/>
    </row>
    <row r="81" spans="6:6" x14ac:dyDescent="0.25">
      <c r="F81" s="2"/>
    </row>
    <row r="83" spans="6:6" x14ac:dyDescent="0.25">
      <c r="F83" s="1"/>
    </row>
    <row r="84" spans="6:6" x14ac:dyDescent="0.25">
      <c r="F84" s="2"/>
    </row>
    <row r="86" spans="6:6" x14ac:dyDescent="0.25">
      <c r="F86" s="1"/>
    </row>
    <row r="87" spans="6:6" x14ac:dyDescent="0.25">
      <c r="F87" s="2"/>
    </row>
    <row r="90" spans="6:6" x14ac:dyDescent="0.25">
      <c r="F90" s="1"/>
    </row>
    <row r="91" spans="6:6" x14ac:dyDescent="0.25">
      <c r="F91" s="2"/>
    </row>
    <row r="93" spans="6:6" x14ac:dyDescent="0.25">
      <c r="F93" s="1"/>
    </row>
    <row r="94" spans="6:6" x14ac:dyDescent="0.25">
      <c r="F94" s="2"/>
    </row>
    <row r="96" spans="6:6" x14ac:dyDescent="0.25">
      <c r="F96" s="1"/>
    </row>
    <row r="97" spans="6:6" x14ac:dyDescent="0.25">
      <c r="F97" s="2"/>
    </row>
    <row r="99" spans="6:6" x14ac:dyDescent="0.25">
      <c r="F99" s="1"/>
    </row>
    <row r="100" spans="6:6" x14ac:dyDescent="0.25">
      <c r="F100" s="2"/>
    </row>
    <row r="102" spans="6:6" x14ac:dyDescent="0.25">
      <c r="F102" s="1"/>
    </row>
    <row r="103" spans="6:6" x14ac:dyDescent="0.25">
      <c r="F103" s="2"/>
    </row>
    <row r="105" spans="6:6" x14ac:dyDescent="0.25">
      <c r="F105" s="1"/>
    </row>
    <row r="106" spans="6:6" x14ac:dyDescent="0.25">
      <c r="F106" s="2"/>
    </row>
    <row r="108" spans="6:6" x14ac:dyDescent="0.25">
      <c r="F108" s="1"/>
    </row>
    <row r="109" spans="6:6" x14ac:dyDescent="0.25">
      <c r="F109" s="2"/>
    </row>
    <row r="111" spans="6:6" x14ac:dyDescent="0.25">
      <c r="F111" s="1"/>
    </row>
    <row r="112" spans="6:6" x14ac:dyDescent="0.25">
      <c r="F112" s="2"/>
    </row>
    <row r="114" spans="6:6" x14ac:dyDescent="0.25">
      <c r="F114" s="1"/>
    </row>
    <row r="115" spans="6:6" x14ac:dyDescent="0.25">
      <c r="F115" s="2"/>
    </row>
    <row r="117" spans="6:6" x14ac:dyDescent="0.25">
      <c r="F117" s="1"/>
    </row>
    <row r="118" spans="6:6" x14ac:dyDescent="0.25">
      <c r="F118" s="2"/>
    </row>
    <row r="120" spans="6:6" x14ac:dyDescent="0.25">
      <c r="F120" s="1"/>
    </row>
    <row r="121" spans="6:6" x14ac:dyDescent="0.25">
      <c r="F121" s="2"/>
    </row>
    <row r="123" spans="6:6" x14ac:dyDescent="0.25">
      <c r="F123" s="1"/>
    </row>
    <row r="124" spans="6:6" x14ac:dyDescent="0.25">
      <c r="F124" s="2"/>
    </row>
    <row r="126" spans="6:6" x14ac:dyDescent="0.25">
      <c r="F126" s="1"/>
    </row>
    <row r="127" spans="6:6" x14ac:dyDescent="0.25">
      <c r="F127" s="2"/>
    </row>
    <row r="129" spans="6:6" x14ac:dyDescent="0.25">
      <c r="F129" s="1"/>
    </row>
    <row r="130" spans="6:6" x14ac:dyDescent="0.25">
      <c r="F130" s="2"/>
    </row>
    <row r="132" spans="6:6" x14ac:dyDescent="0.25">
      <c r="F132" s="1"/>
    </row>
    <row r="133" spans="6:6" x14ac:dyDescent="0.25">
      <c r="F133" s="2"/>
    </row>
    <row r="135" spans="6:6" x14ac:dyDescent="0.25">
      <c r="F135" s="1"/>
    </row>
    <row r="136" spans="6:6" x14ac:dyDescent="0.25">
      <c r="F136" s="2"/>
    </row>
    <row r="138" spans="6:6" x14ac:dyDescent="0.25">
      <c r="F138" s="1"/>
    </row>
    <row r="139" spans="6:6" x14ac:dyDescent="0.25">
      <c r="F139" s="2"/>
    </row>
    <row r="141" spans="6:6" x14ac:dyDescent="0.25">
      <c r="F141" s="1"/>
    </row>
    <row r="142" spans="6:6" x14ac:dyDescent="0.25">
      <c r="F142" s="2"/>
    </row>
    <row r="145" spans="6:6" x14ac:dyDescent="0.25">
      <c r="F145" s="1"/>
    </row>
    <row r="146" spans="6:6" x14ac:dyDescent="0.25">
      <c r="F146" s="2"/>
    </row>
    <row r="148" spans="6:6" x14ac:dyDescent="0.25">
      <c r="F148" s="1"/>
    </row>
    <row r="149" spans="6:6" x14ac:dyDescent="0.25">
      <c r="F149" s="2"/>
    </row>
    <row r="151" spans="6:6" x14ac:dyDescent="0.25">
      <c r="F151" s="1"/>
    </row>
    <row r="152" spans="6:6" x14ac:dyDescent="0.25">
      <c r="F152" s="2"/>
    </row>
    <row r="154" spans="6:6" x14ac:dyDescent="0.25">
      <c r="F154" s="1"/>
    </row>
    <row r="155" spans="6:6" x14ac:dyDescent="0.25">
      <c r="F155" s="2"/>
    </row>
    <row r="157" spans="6:6" x14ac:dyDescent="0.25">
      <c r="F157" s="1"/>
    </row>
    <row r="158" spans="6:6" x14ac:dyDescent="0.25">
      <c r="F158" s="2"/>
    </row>
    <row r="160" spans="6:6" x14ac:dyDescent="0.25">
      <c r="F160" s="1"/>
    </row>
    <row r="161" spans="6:6" x14ac:dyDescent="0.25">
      <c r="F161" s="2"/>
    </row>
    <row r="163" spans="6:6" x14ac:dyDescent="0.25">
      <c r="F163" s="1"/>
    </row>
    <row r="164" spans="6:6" x14ac:dyDescent="0.25">
      <c r="F164" s="2"/>
    </row>
    <row r="166" spans="6:6" x14ac:dyDescent="0.25">
      <c r="F166" s="1"/>
    </row>
    <row r="167" spans="6:6" x14ac:dyDescent="0.25">
      <c r="F167" s="2"/>
    </row>
    <row r="169" spans="6:6" x14ac:dyDescent="0.25">
      <c r="F169" s="1"/>
    </row>
    <row r="170" spans="6:6" x14ac:dyDescent="0.25">
      <c r="F170" s="2"/>
    </row>
    <row r="172" spans="6:6" x14ac:dyDescent="0.25">
      <c r="F172" s="1"/>
    </row>
    <row r="173" spans="6:6" x14ac:dyDescent="0.25">
      <c r="F173" s="2"/>
    </row>
    <row r="175" spans="6:6" x14ac:dyDescent="0.25">
      <c r="F175" s="1"/>
    </row>
    <row r="176" spans="6:6" x14ac:dyDescent="0.25">
      <c r="F176" s="2"/>
    </row>
    <row r="178" spans="5:6" x14ac:dyDescent="0.25">
      <c r="F178" s="1"/>
    </row>
    <row r="179" spans="5:6" x14ac:dyDescent="0.25">
      <c r="F179" s="2"/>
    </row>
    <row r="181" spans="5:6" x14ac:dyDescent="0.25">
      <c r="E181" s="2"/>
    </row>
    <row r="187" spans="5:6" x14ac:dyDescent="0.25">
      <c r="E187" s="2"/>
    </row>
    <row r="193" spans="5:5" x14ac:dyDescent="0.25">
      <c r="E193" s="2"/>
    </row>
    <row r="199" spans="5:5" x14ac:dyDescent="0.25">
      <c r="E199" s="2"/>
    </row>
    <row r="205" spans="5:5" x14ac:dyDescent="0.25">
      <c r="E205" s="2"/>
    </row>
    <row r="211" spans="5:5" x14ac:dyDescent="0.25">
      <c r="E211" s="2"/>
    </row>
  </sheetData>
  <autoFilter ref="A1:O65" xr:uid="{00000000-0009-0000-0000-000009000000}"/>
  <sortState xmlns:xlrd2="http://schemas.microsoft.com/office/spreadsheetml/2017/richdata2" ref="R2:R9">
    <sortCondition ref="R2:R9"/>
  </sortState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/>
  <dimension ref="A1:V19"/>
  <sheetViews>
    <sheetView workbookViewId="0">
      <selection activeCell="A33" sqref="A33"/>
    </sheetView>
  </sheetViews>
  <sheetFormatPr defaultRowHeight="15" x14ac:dyDescent="0.25"/>
  <cols>
    <col min="1" max="1" width="134" bestFit="1" customWidth="1"/>
    <col min="7" max="7" width="2.28515625" bestFit="1" customWidth="1"/>
    <col min="20" max="20" width="22.85546875" bestFit="1" customWidth="1"/>
    <col min="21" max="21" width="2.28515625" bestFit="1" customWidth="1"/>
  </cols>
  <sheetData>
    <row r="1" spans="1:22" x14ac:dyDescent="0.25">
      <c r="A1" t="str">
        <f>CONCATENATE("final prediction ",Wallchart!E89," ",Wallchart!F89," ",Wallchart!H89," ",Wallchart!G89," using soccerwallcharts.com spreadsheet, who R U predicting?")</f>
        <v>final prediction Winner Match 61  Winner Match 62  using soccerwallcharts.com spreadsheet, who R U predicting?</v>
      </c>
      <c r="B1">
        <f>LEN(A1)</f>
        <v>110</v>
      </c>
      <c r="D1" t="s">
        <v>272</v>
      </c>
      <c r="E1" t="str">
        <f>Wallchart!M25</f>
        <v>Qatar</v>
      </c>
      <c r="F1" t="s">
        <v>275</v>
      </c>
      <c r="G1" t="s">
        <v>32</v>
      </c>
      <c r="H1" t="s">
        <v>276</v>
      </c>
    </row>
    <row r="2" spans="1:22" x14ac:dyDescent="0.25">
      <c r="A2" t="str">
        <f>CONCATENATE("Click to tweet: #WorldCup2022 ",A1)</f>
        <v>Click to tweet: #WorldCup2022 final prediction Winner Match 61  Winner Match 62  using soccerwallcharts.com spreadsheet, who R U predicting?</v>
      </c>
      <c r="D2" t="str">
        <f>D1</f>
        <v xml:space="preserve">I've predicted </v>
      </c>
      <c r="E2" t="str">
        <f>Wallchart!M31</f>
        <v>England</v>
      </c>
      <c r="F2" t="s">
        <v>275</v>
      </c>
      <c r="G2" t="s">
        <v>31</v>
      </c>
      <c r="H2" t="str">
        <f>H1</f>
        <v xml:space="preserve"> using soccerwallcharts.com spreadsheet wallchart. Get your wallchart predictor too</v>
      </c>
    </row>
    <row r="3" spans="1:22" x14ac:dyDescent="0.25">
      <c r="D3" t="str">
        <f t="shared" ref="D3:D8" si="0">D2</f>
        <v xml:space="preserve">I've predicted </v>
      </c>
      <c r="E3" t="str">
        <f>Wallchart!M37</f>
        <v>Argentina</v>
      </c>
      <c r="F3" t="s">
        <v>275</v>
      </c>
      <c r="G3" t="s">
        <v>33</v>
      </c>
      <c r="H3" t="str">
        <f t="shared" ref="H3:H8" si="1">H2</f>
        <v xml:space="preserve"> using soccerwallcharts.com spreadsheet wallchart. Get your wallchart predictor too</v>
      </c>
    </row>
    <row r="4" spans="1:22" x14ac:dyDescent="0.25">
      <c r="D4" t="str">
        <f t="shared" si="0"/>
        <v xml:space="preserve">I've predicted </v>
      </c>
      <c r="E4" t="str">
        <f>Wallchart!M43</f>
        <v>France</v>
      </c>
      <c r="F4" t="s">
        <v>275</v>
      </c>
      <c r="G4" t="s">
        <v>34</v>
      </c>
      <c r="H4" t="str">
        <f t="shared" si="1"/>
        <v xml:space="preserve"> using soccerwallcharts.com spreadsheet wallchart. Get your wallchart predictor too</v>
      </c>
    </row>
    <row r="5" spans="1:22" x14ac:dyDescent="0.25">
      <c r="D5" t="str">
        <f t="shared" si="0"/>
        <v xml:space="preserve">I've predicted </v>
      </c>
      <c r="E5" t="str">
        <f>Wallchart!M49</f>
        <v>Spain</v>
      </c>
      <c r="F5" t="s">
        <v>275</v>
      </c>
      <c r="G5" t="s">
        <v>35</v>
      </c>
      <c r="H5" t="str">
        <f t="shared" si="1"/>
        <v xml:space="preserve"> using soccerwallcharts.com spreadsheet wallchart. Get your wallchart predictor too</v>
      </c>
    </row>
    <row r="6" spans="1:22" x14ac:dyDescent="0.25">
      <c r="D6" t="str">
        <f t="shared" si="0"/>
        <v xml:space="preserve">I've predicted </v>
      </c>
      <c r="E6" t="str">
        <f>Wallchart!M55</f>
        <v>Belgium</v>
      </c>
      <c r="F6" t="s">
        <v>275</v>
      </c>
      <c r="G6" t="s">
        <v>36</v>
      </c>
      <c r="H6" t="str">
        <f t="shared" si="1"/>
        <v xml:space="preserve"> using soccerwallcharts.com spreadsheet wallchart. Get your wallchart predictor too</v>
      </c>
    </row>
    <row r="7" spans="1:22" x14ac:dyDescent="0.25">
      <c r="D7" t="str">
        <f t="shared" si="0"/>
        <v xml:space="preserve">I've predicted </v>
      </c>
      <c r="E7" t="str">
        <f>Wallchart!M61</f>
        <v>Brazil</v>
      </c>
      <c r="F7" t="s">
        <v>275</v>
      </c>
      <c r="G7" t="s">
        <v>37</v>
      </c>
      <c r="H7" t="str">
        <f t="shared" si="1"/>
        <v xml:space="preserve"> using soccerwallcharts.com spreadsheet wallchart. Get your wallchart predictor too</v>
      </c>
    </row>
    <row r="8" spans="1:22" x14ac:dyDescent="0.25">
      <c r="A8" t="s">
        <v>271</v>
      </c>
      <c r="D8" t="str">
        <f t="shared" si="0"/>
        <v xml:space="preserve">I've predicted </v>
      </c>
      <c r="E8" t="str">
        <f>Wallchart!M67</f>
        <v>Portugal</v>
      </c>
      <c r="F8" t="s">
        <v>275</v>
      </c>
      <c r="G8" t="s">
        <v>38</v>
      </c>
      <c r="H8" t="str">
        <f t="shared" si="1"/>
        <v xml:space="preserve"> using soccerwallcharts.com spreadsheet wallchart. Get your wallchart predictor too</v>
      </c>
    </row>
    <row r="12" spans="1:22" x14ac:dyDescent="0.25">
      <c r="D12" t="str">
        <f t="shared" ref="D12:D19" si="2">CONCATENATE(D1,E1,F1,G1,H1)</f>
        <v>I've predicted Qatar to win Group A using soccerwallcharts.com spreadsheet wallchart. Get your wallchart predictor too</v>
      </c>
      <c r="O12">
        <f t="shared" ref="O12:O19" si="3">LEN(D12)</f>
        <v>118</v>
      </c>
      <c r="P12" t="str">
        <f>CONCATENATE(T12,U12,V12,)</f>
        <v>Click to Tweet your Group A winner</v>
      </c>
      <c r="T12" t="s">
        <v>273</v>
      </c>
      <c r="U12" t="s">
        <v>32</v>
      </c>
      <c r="V12" t="s">
        <v>274</v>
      </c>
    </row>
    <row r="13" spans="1:22" x14ac:dyDescent="0.25">
      <c r="D13" t="str">
        <f t="shared" si="2"/>
        <v>I've predicted England to win Group B using soccerwallcharts.com spreadsheet wallchart. Get your wallchart predictor too</v>
      </c>
      <c r="O13">
        <f t="shared" si="3"/>
        <v>120</v>
      </c>
      <c r="P13" t="str">
        <f t="shared" ref="P13:P19" si="4">CONCATENATE(T13,U13,V13,)</f>
        <v>Click to Tweet your Group B winner</v>
      </c>
      <c r="T13" t="str">
        <f>T12</f>
        <v xml:space="preserve">Click to Tweet your Group </v>
      </c>
      <c r="U13" t="s">
        <v>31</v>
      </c>
      <c r="V13" t="str">
        <f>V12</f>
        <v xml:space="preserve"> winner</v>
      </c>
    </row>
    <row r="14" spans="1:22" x14ac:dyDescent="0.25">
      <c r="D14" t="str">
        <f t="shared" si="2"/>
        <v>I've predicted Argentina to win Group C using soccerwallcharts.com spreadsheet wallchart. Get your wallchart predictor too</v>
      </c>
      <c r="O14">
        <f t="shared" si="3"/>
        <v>122</v>
      </c>
      <c r="P14" t="str">
        <f t="shared" si="4"/>
        <v>Click to Tweet your Group C winner</v>
      </c>
      <c r="T14" t="str">
        <f t="shared" ref="T14:T19" si="5">T13</f>
        <v xml:space="preserve">Click to Tweet your Group </v>
      </c>
      <c r="U14" t="s">
        <v>33</v>
      </c>
      <c r="V14" t="str">
        <f t="shared" ref="V14:V19" si="6">V13</f>
        <v xml:space="preserve"> winner</v>
      </c>
    </row>
    <row r="15" spans="1:22" x14ac:dyDescent="0.25">
      <c r="A15" t="str">
        <f>CONCATENATE("final prediction ",Wallchart!E89," ",Wallchart!F89," ",Wallchart!H89," ",Wallchart!G89," using soccerwallcharts.com spreadsheet, who R U predicting?")</f>
        <v>final prediction Winner Match 61  Winner Match 62  using soccerwallcharts.com spreadsheet, who R U predicting?</v>
      </c>
      <c r="D15" t="str">
        <f t="shared" si="2"/>
        <v>I've predicted France to win Group D using soccerwallcharts.com spreadsheet wallchart. Get your wallchart predictor too</v>
      </c>
      <c r="O15">
        <f t="shared" si="3"/>
        <v>119</v>
      </c>
      <c r="P15" t="str">
        <f t="shared" si="4"/>
        <v>Click to Tweet your Group D winner</v>
      </c>
      <c r="T15" t="str">
        <f t="shared" si="5"/>
        <v xml:space="preserve">Click to Tweet your Group </v>
      </c>
      <c r="U15" t="s">
        <v>34</v>
      </c>
      <c r="V15" t="str">
        <f t="shared" si="6"/>
        <v xml:space="preserve"> winner</v>
      </c>
    </row>
    <row r="16" spans="1:22" x14ac:dyDescent="0.25">
      <c r="D16" t="str">
        <f t="shared" si="2"/>
        <v>I've predicted Spain to win Group E using soccerwallcharts.com spreadsheet wallchart. Get your wallchart predictor too</v>
      </c>
      <c r="O16">
        <f t="shared" si="3"/>
        <v>118</v>
      </c>
      <c r="P16" t="str">
        <f t="shared" si="4"/>
        <v>Click to Tweet your Group E winner</v>
      </c>
      <c r="T16" t="str">
        <f t="shared" si="5"/>
        <v xml:space="preserve">Click to Tweet your Group </v>
      </c>
      <c r="U16" t="s">
        <v>35</v>
      </c>
      <c r="V16" t="str">
        <f t="shared" si="6"/>
        <v xml:space="preserve"> winner</v>
      </c>
    </row>
    <row r="17" spans="4:22" x14ac:dyDescent="0.25">
      <c r="D17" t="str">
        <f t="shared" si="2"/>
        <v>I've predicted Belgium to win Group F using soccerwallcharts.com spreadsheet wallchart. Get your wallchart predictor too</v>
      </c>
      <c r="O17">
        <f t="shared" si="3"/>
        <v>120</v>
      </c>
      <c r="P17" t="str">
        <f t="shared" si="4"/>
        <v>Click to Tweet your Group F winner</v>
      </c>
      <c r="T17" t="str">
        <f t="shared" si="5"/>
        <v xml:space="preserve">Click to Tweet your Group </v>
      </c>
      <c r="U17" t="s">
        <v>36</v>
      </c>
      <c r="V17" t="str">
        <f t="shared" si="6"/>
        <v xml:space="preserve"> winner</v>
      </c>
    </row>
    <row r="18" spans="4:22" x14ac:dyDescent="0.25">
      <c r="D18" t="str">
        <f t="shared" si="2"/>
        <v>I've predicted Brazil to win Group G using soccerwallcharts.com spreadsheet wallchart. Get your wallchart predictor too</v>
      </c>
      <c r="O18">
        <f t="shared" si="3"/>
        <v>119</v>
      </c>
      <c r="P18" t="str">
        <f t="shared" si="4"/>
        <v>Click to Tweet your Group G winner</v>
      </c>
      <c r="T18" t="str">
        <f t="shared" si="5"/>
        <v xml:space="preserve">Click to Tweet your Group </v>
      </c>
      <c r="U18" t="s">
        <v>37</v>
      </c>
      <c r="V18" t="str">
        <f t="shared" si="6"/>
        <v xml:space="preserve"> winner</v>
      </c>
    </row>
    <row r="19" spans="4:22" x14ac:dyDescent="0.25">
      <c r="D19" t="str">
        <f t="shared" si="2"/>
        <v>I've predicted Portugal to win Group H using soccerwallcharts.com spreadsheet wallchart. Get your wallchart predictor too</v>
      </c>
      <c r="O19">
        <f t="shared" si="3"/>
        <v>121</v>
      </c>
      <c r="P19" t="str">
        <f t="shared" si="4"/>
        <v>Click to Tweet your Group H winner</v>
      </c>
      <c r="T19" t="str">
        <f t="shared" si="5"/>
        <v xml:space="preserve">Click to Tweet your Group </v>
      </c>
      <c r="U19" t="s">
        <v>38</v>
      </c>
      <c r="V19" t="str">
        <f t="shared" si="6"/>
        <v xml:space="preserve"> winner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87"/>
  <sheetViews>
    <sheetView zoomScaleNormal="100" workbookViewId="0">
      <selection activeCell="D9" sqref="D9"/>
    </sheetView>
  </sheetViews>
  <sheetFormatPr defaultColWidth="9.140625" defaultRowHeight="16.5" x14ac:dyDescent="0.3"/>
  <cols>
    <col min="1" max="1" width="3.140625" style="167" bestFit="1" customWidth="1"/>
    <col min="2" max="3" width="30.42578125" style="159" bestFit="1" customWidth="1"/>
    <col min="4" max="4" width="42.7109375" style="159" bestFit="1" customWidth="1"/>
    <col min="5" max="5" width="34.42578125" style="159" bestFit="1" customWidth="1"/>
    <col min="6" max="6" width="32" style="159" bestFit="1" customWidth="1"/>
    <col min="7" max="7" width="35.42578125" style="159" bestFit="1" customWidth="1"/>
    <col min="8" max="8" width="35.140625" style="159" bestFit="1" customWidth="1"/>
    <col min="9" max="9" width="35.85546875" style="159" bestFit="1" customWidth="1"/>
    <col min="10" max="16384" width="9.140625" style="159"/>
  </cols>
  <sheetData>
    <row r="1" spans="1:21" x14ac:dyDescent="0.3">
      <c r="A1" s="157" t="s">
        <v>283</v>
      </c>
      <c r="B1" s="158" t="s">
        <v>284</v>
      </c>
      <c r="C1" s="158" t="s">
        <v>285</v>
      </c>
      <c r="D1" s="158" t="s">
        <v>286</v>
      </c>
      <c r="E1" s="158" t="s">
        <v>287</v>
      </c>
      <c r="F1" s="158" t="s">
        <v>288</v>
      </c>
      <c r="G1" s="158" t="s">
        <v>289</v>
      </c>
      <c r="H1" s="158" t="s">
        <v>290</v>
      </c>
      <c r="I1" s="158" t="s">
        <v>291</v>
      </c>
      <c r="M1" s="159" t="s">
        <v>283</v>
      </c>
      <c r="N1" s="159" t="s">
        <v>284</v>
      </c>
      <c r="O1" s="159" t="s">
        <v>285</v>
      </c>
      <c r="P1" s="159" t="s">
        <v>286</v>
      </c>
      <c r="Q1" s="159" t="s">
        <v>287</v>
      </c>
      <c r="R1" s="159" t="s">
        <v>288</v>
      </c>
      <c r="S1" s="159" t="s">
        <v>289</v>
      </c>
      <c r="T1" s="159" t="s">
        <v>290</v>
      </c>
      <c r="U1" s="159" t="s">
        <v>291</v>
      </c>
    </row>
    <row r="2" spans="1:21" x14ac:dyDescent="0.3">
      <c r="A2" s="160">
        <v>1</v>
      </c>
      <c r="B2" s="176" t="s">
        <v>47</v>
      </c>
      <c r="C2" s="184" t="s">
        <v>720</v>
      </c>
      <c r="D2" s="162" t="str">
        <f>VLOOKUP($C2,'List of countries by language'!$A$2:$G$107,2)</f>
        <v>Qatar</v>
      </c>
      <c r="E2" s="162" t="str">
        <f>VLOOKUP($C2,'List of countries by language'!$A$2:$G$107,3)</f>
        <v>Qatar</v>
      </c>
      <c r="F2" s="162" t="str">
        <f>VLOOKUP($C2,'List of countries by language'!$A$2:$G$107,4)</f>
        <v>Qatar</v>
      </c>
      <c r="G2" s="162" t="str">
        <f>VLOOKUP($C2,'List of countries by language'!$A$2:$G$107,5)</f>
        <v>Qatar</v>
      </c>
      <c r="H2" s="162" t="str">
        <f>VLOOKUP($C2,'List of countries by language'!$A$2:$G$107,6)</f>
        <v>Qatar</v>
      </c>
      <c r="I2" s="162" t="str">
        <f>VLOOKUP($C2,'List of countries by language'!$A$2:$G$107,7)</f>
        <v>Qatar</v>
      </c>
      <c r="M2" s="159">
        <v>1</v>
      </c>
      <c r="N2" s="159" t="s">
        <v>47</v>
      </c>
      <c r="O2" s="159" t="s">
        <v>232</v>
      </c>
      <c r="P2" s="159" t="s">
        <v>292</v>
      </c>
      <c r="Q2" s="159" t="s">
        <v>293</v>
      </c>
      <c r="R2" s="159" t="s">
        <v>232</v>
      </c>
      <c r="S2" s="159" t="s">
        <v>294</v>
      </c>
      <c r="T2" s="159" t="s">
        <v>295</v>
      </c>
      <c r="U2" s="159" t="s">
        <v>296</v>
      </c>
    </row>
    <row r="3" spans="1:21" x14ac:dyDescent="0.3">
      <c r="A3" s="160">
        <v>2</v>
      </c>
      <c r="B3" s="176" t="s">
        <v>48</v>
      </c>
      <c r="C3" s="185" t="s">
        <v>721</v>
      </c>
      <c r="D3" s="162" t="str">
        <f>VLOOKUP($C3,'List of countries by language'!$A$2:$G$107,2)</f>
        <v>Ecuador</v>
      </c>
      <c r="E3" s="162" t="str">
        <f>VLOOKUP($C3,'List of countries by language'!$A$2:$G$107,3)</f>
        <v>Ecuador</v>
      </c>
      <c r="F3" s="162" t="str">
        <f>VLOOKUP($C3,'List of countries by language'!$A$2:$G$107,4)</f>
        <v>Ecuador</v>
      </c>
      <c r="G3" s="162" t="str">
        <f>VLOOKUP($C3,'List of countries by language'!$A$2:$G$107,5)</f>
        <v>Ecuador</v>
      </c>
      <c r="H3" s="162" t="str">
        <f>VLOOKUP($C3,'List of countries by language'!$A$2:$G$107,6)</f>
        <v>Ecuador</v>
      </c>
      <c r="I3" s="162" t="str">
        <f>VLOOKUP($C3,'List of countries by language'!$A$2:$G$107,7)</f>
        <v>Ecuador</v>
      </c>
      <c r="M3" s="159">
        <v>2</v>
      </c>
      <c r="N3" s="159" t="s">
        <v>48</v>
      </c>
      <c r="O3" s="159" t="s">
        <v>708</v>
      </c>
      <c r="P3" s="159" t="s">
        <v>708</v>
      </c>
      <c r="Q3" s="159" t="s">
        <v>708</v>
      </c>
      <c r="R3" s="159" t="s">
        <v>708</v>
      </c>
      <c r="S3" s="159" t="s">
        <v>708</v>
      </c>
      <c r="T3" s="159" t="s">
        <v>708</v>
      </c>
      <c r="U3" s="159" t="s">
        <v>708</v>
      </c>
    </row>
    <row r="4" spans="1:21" x14ac:dyDescent="0.3">
      <c r="A4" s="160">
        <v>3</v>
      </c>
      <c r="B4" s="176" t="s">
        <v>49</v>
      </c>
      <c r="C4" s="185" t="s">
        <v>719</v>
      </c>
      <c r="D4" s="162" t="str">
        <f>VLOOKUP($C4,'List of countries by language'!$A$2:$G$107,2)</f>
        <v>Senegal</v>
      </c>
      <c r="E4" s="162" t="str">
        <f>VLOOKUP($C4,'List of countries by language'!$A$2:$G$107,3)</f>
        <v>Senegal</v>
      </c>
      <c r="F4" s="162" t="str">
        <f>VLOOKUP($C4,'List of countries by language'!$A$2:$G$107,4)</f>
        <v>Senegal</v>
      </c>
      <c r="G4" s="162" t="str">
        <f>VLOOKUP($C4,'List of countries by language'!$A$2:$G$107,5)</f>
        <v>Senegal</v>
      </c>
      <c r="H4" s="162" t="str">
        <f>VLOOKUP($C4,'List of countries by language'!$A$2:$G$107,6)</f>
        <v>Senegal</v>
      </c>
      <c r="I4" s="162" t="str">
        <f>VLOOKUP($C4,'List of countries by language'!$A$2:$G$107,7)</f>
        <v>Senegal</v>
      </c>
      <c r="M4" s="159">
        <v>3</v>
      </c>
      <c r="N4" s="159" t="s">
        <v>49</v>
      </c>
      <c r="O4" s="159" t="s">
        <v>709</v>
      </c>
      <c r="P4" s="159" t="s">
        <v>709</v>
      </c>
      <c r="Q4" s="159" t="s">
        <v>709</v>
      </c>
      <c r="R4" s="159" t="s">
        <v>709</v>
      </c>
      <c r="S4" s="159" t="s">
        <v>709</v>
      </c>
      <c r="T4" s="159" t="s">
        <v>709</v>
      </c>
      <c r="U4" s="159" t="s">
        <v>709</v>
      </c>
    </row>
    <row r="5" spans="1:21" x14ac:dyDescent="0.3">
      <c r="A5" s="160">
        <v>4</v>
      </c>
      <c r="B5" s="176" t="s">
        <v>50</v>
      </c>
      <c r="C5" s="185" t="s">
        <v>722</v>
      </c>
      <c r="D5" s="162" t="str">
        <f>VLOOKUP($C5,'List of countries by language'!$A$2:$G$107,2)</f>
        <v>Netherlands</v>
      </c>
      <c r="E5" s="162" t="str">
        <f>VLOOKUP($C5,'List of countries by language'!$A$2:$G$107,3)</f>
        <v>Netherlands</v>
      </c>
      <c r="F5" s="162" t="str">
        <f>VLOOKUP($C5,'List of countries by language'!$A$2:$G$107,4)</f>
        <v>Netherlands</v>
      </c>
      <c r="G5" s="162" t="str">
        <f>VLOOKUP($C5,'List of countries by language'!$A$2:$G$107,5)</f>
        <v>Netherlands</v>
      </c>
      <c r="H5" s="162" t="str">
        <f>VLOOKUP($C5,'List of countries by language'!$A$2:$G$107,6)</f>
        <v>Netherlands</v>
      </c>
      <c r="I5" s="162" t="str">
        <f>VLOOKUP($C5,'List of countries by language'!$A$2:$G$107,7)</f>
        <v>Netherlands</v>
      </c>
      <c r="M5" s="159">
        <v>4</v>
      </c>
      <c r="N5" s="159" t="s">
        <v>50</v>
      </c>
      <c r="O5" s="159" t="s">
        <v>332</v>
      </c>
      <c r="P5" s="159" t="s">
        <v>332</v>
      </c>
      <c r="Q5" s="159" t="s">
        <v>332</v>
      </c>
      <c r="R5" s="159" t="s">
        <v>332</v>
      </c>
      <c r="S5" s="159" t="s">
        <v>333</v>
      </c>
      <c r="T5" s="159" t="s">
        <v>334</v>
      </c>
      <c r="U5" s="159" t="s">
        <v>332</v>
      </c>
    </row>
    <row r="6" spans="1:21" x14ac:dyDescent="0.3">
      <c r="A6" s="160">
        <v>5</v>
      </c>
      <c r="B6" s="176" t="s">
        <v>51</v>
      </c>
      <c r="C6" s="185" t="s">
        <v>338</v>
      </c>
      <c r="D6" s="162" t="str">
        <f>VLOOKUP($C6,'List of countries by language'!$A$2:$G$107,2)</f>
        <v>Angleterre</v>
      </c>
      <c r="E6" s="162" t="str">
        <f>VLOOKUP($C6,'List of countries by language'!$A$2:$G$107,3)</f>
        <v>England</v>
      </c>
      <c r="F6" s="162" t="str">
        <f>VLOOKUP($C6,'List of countries by language'!$A$2:$G$107,4)</f>
        <v>Inghilterra</v>
      </c>
      <c r="G6" s="162" t="str">
        <f>VLOOKUP($C6,'List of countries by language'!$A$2:$G$107,5)</f>
        <v>Inglaterra</v>
      </c>
      <c r="H6" s="162" t="str">
        <f>VLOOKUP($C6,'List of countries by language'!$A$2:$G$107,6)</f>
        <v>Англия</v>
      </c>
      <c r="I6" s="162" t="str">
        <f>VLOOKUP($C6,'List of countries by language'!$A$2:$G$107,7)</f>
        <v>Inglaterra</v>
      </c>
      <c r="M6" s="159">
        <v>5</v>
      </c>
      <c r="N6" s="159" t="s">
        <v>51</v>
      </c>
      <c r="O6" s="159" t="s">
        <v>373</v>
      </c>
      <c r="P6" s="159" t="s">
        <v>373</v>
      </c>
      <c r="Q6" s="159" t="s">
        <v>373</v>
      </c>
      <c r="R6" s="159" t="s">
        <v>374</v>
      </c>
      <c r="S6" s="159" t="s">
        <v>373</v>
      </c>
      <c r="T6" s="159" t="s">
        <v>375</v>
      </c>
      <c r="U6" s="159" t="s">
        <v>373</v>
      </c>
    </row>
    <row r="7" spans="1:21" x14ac:dyDescent="0.3">
      <c r="A7" s="160">
        <v>6</v>
      </c>
      <c r="B7" s="176" t="s">
        <v>52</v>
      </c>
      <c r="C7" s="185" t="s">
        <v>359</v>
      </c>
      <c r="D7" s="162" t="str">
        <f>VLOOKUP($C7,'List of countries by language'!$A$2:$G$107,2)</f>
        <v>Iran</v>
      </c>
      <c r="E7" s="162" t="str">
        <f>VLOOKUP($C7,'List of countries by language'!$A$2:$G$107,3)</f>
        <v>Iran</v>
      </c>
      <c r="F7" s="162" t="str">
        <f>VLOOKUP($C7,'List of countries by language'!$A$2:$G$107,4)</f>
        <v>Iran</v>
      </c>
      <c r="G7" s="162" t="str">
        <f>VLOOKUP($C7,'List of countries by language'!$A$2:$G$107,5)</f>
        <v>Irã</v>
      </c>
      <c r="H7" s="162" t="str">
        <f>VLOOKUP($C7,'List of countries by language'!$A$2:$G$107,6)</f>
        <v>Иран</v>
      </c>
      <c r="I7" s="162" t="str">
        <f>VLOOKUP($C7,'List of countries by language'!$A$2:$G$107,7)</f>
        <v>Irán</v>
      </c>
      <c r="M7" s="159">
        <v>6</v>
      </c>
      <c r="N7" s="159" t="s">
        <v>52</v>
      </c>
      <c r="O7" s="159" t="s">
        <v>310</v>
      </c>
      <c r="P7" s="159" t="s">
        <v>311</v>
      </c>
      <c r="Q7" s="159" t="s">
        <v>312</v>
      </c>
      <c r="R7" s="159" t="s">
        <v>313</v>
      </c>
      <c r="S7" s="159" t="s">
        <v>314</v>
      </c>
      <c r="T7" s="159" t="s">
        <v>315</v>
      </c>
      <c r="U7" s="159" t="s">
        <v>316</v>
      </c>
    </row>
    <row r="8" spans="1:21" x14ac:dyDescent="0.3">
      <c r="A8" s="160">
        <v>7</v>
      </c>
      <c r="B8" s="176" t="s">
        <v>53</v>
      </c>
      <c r="C8" s="185" t="s">
        <v>723</v>
      </c>
      <c r="D8" s="162" t="str">
        <f>VLOOKUP($C8,'List of countries by language'!$A$2:$G$107,2)</f>
        <v>USA</v>
      </c>
      <c r="E8" s="162" t="str">
        <f>VLOOKUP($C8,'List of countries by language'!$A$2:$G$107,3)</f>
        <v>USA</v>
      </c>
      <c r="F8" s="162" t="str">
        <f>VLOOKUP($C8,'List of countries by language'!$A$2:$G$107,4)</f>
        <v>USA</v>
      </c>
      <c r="G8" s="162" t="str">
        <f>VLOOKUP($C8,'List of countries by language'!$A$2:$G$107,5)</f>
        <v>USA</v>
      </c>
      <c r="H8" s="162" t="str">
        <f>VLOOKUP($C8,'List of countries by language'!$A$2:$G$107,6)</f>
        <v>USA</v>
      </c>
      <c r="I8" s="162" t="str">
        <f>VLOOKUP($C8,'List of countries by language'!$A$2:$G$107,7)</f>
        <v>USA</v>
      </c>
      <c r="M8" s="159">
        <v>7</v>
      </c>
      <c r="N8" s="159" t="s">
        <v>53</v>
      </c>
      <c r="O8" s="159" t="s">
        <v>710</v>
      </c>
      <c r="P8" s="159" t="s">
        <v>710</v>
      </c>
      <c r="Q8" s="159" t="s">
        <v>710</v>
      </c>
      <c r="R8" s="159" t="s">
        <v>710</v>
      </c>
      <c r="S8" s="159" t="s">
        <v>710</v>
      </c>
      <c r="T8" s="159" t="s">
        <v>710</v>
      </c>
      <c r="U8" s="159" t="s">
        <v>710</v>
      </c>
    </row>
    <row r="9" spans="1:21" x14ac:dyDescent="0.3">
      <c r="A9" s="160">
        <v>8</v>
      </c>
      <c r="B9" s="176" t="s">
        <v>54</v>
      </c>
      <c r="C9" s="185" t="s">
        <v>819</v>
      </c>
      <c r="D9" s="162" t="str">
        <f>VLOOKUP($C9,'List of countries by language'!$A$2:$G$107,2)</f>
        <v>Pays de Galles</v>
      </c>
      <c r="E9" s="162" t="str">
        <f>VLOOKUP($C9,'List of countries by language'!$A$2:$G$107,3)</f>
        <v>Wales</v>
      </c>
      <c r="F9" s="162" t="str">
        <f>VLOOKUP($C9,'List of countries by language'!$A$2:$G$107,4)</f>
        <v>Galles</v>
      </c>
      <c r="G9" s="162" t="str">
        <f>VLOOKUP($C9,'List of countries by language'!$A$2:$G$107,5)</f>
        <v>Gales</v>
      </c>
      <c r="H9" s="162" t="str">
        <f>VLOOKUP($C9,'List of countries by language'!$A$2:$G$107,6)</f>
        <v>Уэльс</v>
      </c>
      <c r="I9" s="162" t="str">
        <f>VLOOKUP($C9,'List of countries by language'!$A$2:$G$107,7)</f>
        <v>Gales</v>
      </c>
      <c r="M9" s="159">
        <v>8</v>
      </c>
      <c r="N9" s="159" t="s">
        <v>54</v>
      </c>
      <c r="O9" s="159" t="s">
        <v>359</v>
      </c>
      <c r="P9" s="159" t="s">
        <v>359</v>
      </c>
      <c r="Q9" s="159" t="s">
        <v>359</v>
      </c>
      <c r="R9" s="159" t="s">
        <v>359</v>
      </c>
      <c r="S9" s="159" t="s">
        <v>360</v>
      </c>
      <c r="T9" s="159" t="s">
        <v>361</v>
      </c>
      <c r="U9" s="159" t="s">
        <v>362</v>
      </c>
    </row>
    <row r="10" spans="1:21" x14ac:dyDescent="0.3">
      <c r="A10" s="160">
        <v>9</v>
      </c>
      <c r="B10" s="176" t="s">
        <v>55</v>
      </c>
      <c r="C10" s="185" t="s">
        <v>355</v>
      </c>
      <c r="D10" s="162" t="str">
        <f>VLOOKUP($C10,'List of countries by language'!$A$2:$G$107,2)</f>
        <v>Argentine</v>
      </c>
      <c r="E10" s="162" t="str">
        <f>VLOOKUP($C10,'List of countries by language'!$A$2:$G$107,3)</f>
        <v>Argentinien</v>
      </c>
      <c r="F10" s="162" t="str">
        <f>VLOOKUP($C10,'List of countries by language'!$A$2:$G$107,4)</f>
        <v>Argentina</v>
      </c>
      <c r="G10" s="162" t="str">
        <f>VLOOKUP($C10,'List of countries by language'!$A$2:$G$107,5)</f>
        <v>Argentina</v>
      </c>
      <c r="H10" s="162" t="str">
        <f>VLOOKUP($C10,'List of countries by language'!$A$2:$G$107,6)</f>
        <v>Аргентина</v>
      </c>
      <c r="I10" s="162" t="str">
        <f>VLOOKUP($C10,'List of countries by language'!$A$2:$G$107,7)</f>
        <v>Argentina</v>
      </c>
      <c r="M10" s="159">
        <v>9</v>
      </c>
      <c r="N10" s="159" t="s">
        <v>55</v>
      </c>
      <c r="O10" s="159" t="s">
        <v>350</v>
      </c>
      <c r="P10" s="159" t="s">
        <v>350</v>
      </c>
      <c r="Q10" s="159" t="s">
        <v>351</v>
      </c>
      <c r="R10" s="159" t="s">
        <v>352</v>
      </c>
      <c r="S10" s="159" t="s">
        <v>353</v>
      </c>
      <c r="T10" s="159" t="s">
        <v>354</v>
      </c>
      <c r="U10" s="159" t="s">
        <v>352</v>
      </c>
    </row>
    <row r="11" spans="1:21" x14ac:dyDescent="0.3">
      <c r="A11" s="160">
        <v>10</v>
      </c>
      <c r="B11" s="176" t="s">
        <v>56</v>
      </c>
      <c r="C11" s="185" t="s">
        <v>708</v>
      </c>
      <c r="D11" s="162" t="str">
        <f>VLOOKUP($C11,'List of countries by language'!$A$2:$G$107,2)</f>
        <v>Saudi Arabia</v>
      </c>
      <c r="E11" s="162" t="str">
        <f>VLOOKUP($C11,'List of countries by language'!$A$2:$G$107,3)</f>
        <v>Saudi Arabia</v>
      </c>
      <c r="F11" s="162" t="str">
        <f>VLOOKUP($C11,'List of countries by language'!$A$2:$G$107,4)</f>
        <v>Saudi Arabia</v>
      </c>
      <c r="G11" s="162" t="str">
        <f>VLOOKUP($C11,'List of countries by language'!$A$2:$G$107,5)</f>
        <v>Saudi Arabia</v>
      </c>
      <c r="H11" s="162" t="str">
        <f>VLOOKUP($C11,'List of countries by language'!$A$2:$G$107,6)</f>
        <v>Saudi Arabia</v>
      </c>
      <c r="I11" s="162" t="str">
        <f>VLOOKUP($C11,'List of countries by language'!$A$2:$G$107,7)</f>
        <v>Saudi Arabia</v>
      </c>
      <c r="M11" s="159">
        <v>10</v>
      </c>
      <c r="N11" s="159" t="s">
        <v>56</v>
      </c>
      <c r="O11" s="159" t="s">
        <v>317</v>
      </c>
      <c r="P11" s="159" t="s">
        <v>318</v>
      </c>
      <c r="Q11" s="159" t="s">
        <v>319</v>
      </c>
      <c r="R11" s="159" t="s">
        <v>320</v>
      </c>
      <c r="S11" s="159" t="s">
        <v>321</v>
      </c>
      <c r="T11" s="159" t="s">
        <v>322</v>
      </c>
      <c r="U11" s="159" t="s">
        <v>317</v>
      </c>
    </row>
    <row r="12" spans="1:21" x14ac:dyDescent="0.3">
      <c r="A12" s="160">
        <v>11</v>
      </c>
      <c r="B12" s="177" t="s">
        <v>57</v>
      </c>
      <c r="C12" s="185" t="s">
        <v>304</v>
      </c>
      <c r="D12" s="162" t="str">
        <f>VLOOKUP($C12,'List of countries by language'!$A$2:$G$107,2)</f>
        <v>Mexique</v>
      </c>
      <c r="E12" s="162" t="str">
        <f>VLOOKUP($C12,'List of countries by language'!$A$2:$G$107,3)</f>
        <v>Mexiko</v>
      </c>
      <c r="F12" s="162" t="str">
        <f>VLOOKUP($C12,'List of countries by language'!$A$2:$G$107,4)</f>
        <v>Messico</v>
      </c>
      <c r="G12" s="162" t="str">
        <f>VLOOKUP($C12,'List of countries by language'!$A$2:$G$107,5)</f>
        <v>México</v>
      </c>
      <c r="H12" s="162" t="str">
        <f>VLOOKUP($C12,'List of countries by language'!$A$2:$G$107,6)</f>
        <v>Мексика</v>
      </c>
      <c r="I12" s="162" t="str">
        <f>VLOOKUP($C12,'List of countries by language'!$A$2:$G$107,7)</f>
        <v>México</v>
      </c>
      <c r="M12" s="159">
        <v>11</v>
      </c>
      <c r="N12" s="159" t="s">
        <v>57</v>
      </c>
      <c r="O12" s="159" t="s">
        <v>711</v>
      </c>
      <c r="P12" s="159" t="s">
        <v>711</v>
      </c>
      <c r="Q12" s="159" t="s">
        <v>711</v>
      </c>
      <c r="R12" s="159" t="s">
        <v>711</v>
      </c>
      <c r="S12" s="159" t="s">
        <v>711</v>
      </c>
      <c r="T12" s="159" t="s">
        <v>711</v>
      </c>
      <c r="U12" s="159" t="s">
        <v>711</v>
      </c>
    </row>
    <row r="13" spans="1:21" x14ac:dyDescent="0.3">
      <c r="A13" s="160">
        <v>12</v>
      </c>
      <c r="B13" s="176" t="s">
        <v>58</v>
      </c>
      <c r="C13" s="185" t="s">
        <v>718</v>
      </c>
      <c r="D13" s="162" t="str">
        <f>VLOOKUP($C13,'List of countries by language'!$A$2:$G$107,2)</f>
        <v>Poland</v>
      </c>
      <c r="E13" s="162" t="str">
        <f>VLOOKUP($C13,'List of countries by language'!$A$2:$G$107,3)</f>
        <v>Poland</v>
      </c>
      <c r="F13" s="162" t="str">
        <f>VLOOKUP($C13,'List of countries by language'!$A$2:$G$107,4)</f>
        <v>Poland</v>
      </c>
      <c r="G13" s="162" t="str">
        <f>VLOOKUP($C13,'List of countries by language'!$A$2:$G$107,5)</f>
        <v>Poland</v>
      </c>
      <c r="H13" s="162" t="str">
        <f>VLOOKUP($C13,'List of countries by language'!$A$2:$G$107,6)</f>
        <v>Poland</v>
      </c>
      <c r="I13" s="162" t="str">
        <f>VLOOKUP($C13,'List of countries by language'!$A$2:$G$107,7)</f>
        <v>Poland</v>
      </c>
      <c r="M13" s="159">
        <v>12</v>
      </c>
      <c r="N13" s="159" t="s">
        <v>58</v>
      </c>
      <c r="O13" s="159" t="s">
        <v>712</v>
      </c>
      <c r="P13" s="159" t="s">
        <v>712</v>
      </c>
      <c r="Q13" s="159" t="s">
        <v>712</v>
      </c>
      <c r="R13" s="159" t="s">
        <v>712</v>
      </c>
      <c r="S13" s="159" t="s">
        <v>712</v>
      </c>
      <c r="T13" s="159" t="s">
        <v>712</v>
      </c>
      <c r="U13" s="159" t="s">
        <v>712</v>
      </c>
    </row>
    <row r="14" spans="1:21" x14ac:dyDescent="0.3">
      <c r="A14" s="160">
        <v>13</v>
      </c>
      <c r="B14" s="176" t="s">
        <v>59</v>
      </c>
      <c r="C14" s="185" t="s">
        <v>350</v>
      </c>
      <c r="D14" s="162" t="str">
        <f>VLOOKUP($C14,'List of countries by language'!$A$2:$G$107,2)</f>
        <v>France</v>
      </c>
      <c r="E14" s="162" t="str">
        <f>VLOOKUP($C14,'List of countries by language'!$A$2:$G$107,3)</f>
        <v>Frankreich</v>
      </c>
      <c r="F14" s="162" t="str">
        <f>VLOOKUP($C14,'List of countries by language'!$A$2:$G$107,4)</f>
        <v>Francia</v>
      </c>
      <c r="G14" s="162" t="str">
        <f>VLOOKUP($C14,'List of countries by language'!$A$2:$G$107,5)</f>
        <v>França</v>
      </c>
      <c r="H14" s="162" t="str">
        <f>VLOOKUP($C14,'List of countries by language'!$A$2:$G$107,6)</f>
        <v>Франция</v>
      </c>
      <c r="I14" s="162" t="str">
        <f>VLOOKUP($C14,'List of countries by language'!$A$2:$G$107,7)</f>
        <v>Francia</v>
      </c>
      <c r="M14" s="159">
        <v>13</v>
      </c>
      <c r="N14" s="159" t="s">
        <v>59</v>
      </c>
      <c r="O14" s="159" t="s">
        <v>355</v>
      </c>
      <c r="P14" s="159" t="s">
        <v>356</v>
      </c>
      <c r="Q14" s="159" t="s">
        <v>357</v>
      </c>
      <c r="R14" s="159" t="s">
        <v>355</v>
      </c>
      <c r="S14" s="159" t="s">
        <v>355</v>
      </c>
      <c r="T14" s="159" t="s">
        <v>358</v>
      </c>
      <c r="U14" s="159" t="s">
        <v>355</v>
      </c>
    </row>
    <row r="15" spans="1:21" x14ac:dyDescent="0.3">
      <c r="A15" s="160">
        <v>14</v>
      </c>
      <c r="B15" s="176" t="s">
        <v>60</v>
      </c>
      <c r="C15" s="185" t="s">
        <v>317</v>
      </c>
      <c r="D15" s="162" t="str">
        <f>VLOOKUP($C15,'List of countries by language'!$A$2:$G$107,2)</f>
        <v>Australie</v>
      </c>
      <c r="E15" s="162" t="str">
        <f>VLOOKUP($C15,'List of countries by language'!$A$2:$G$107,3)</f>
        <v>Australien</v>
      </c>
      <c r="F15" s="162" t="str">
        <f>VLOOKUP($C15,'List of countries by language'!$A$2:$G$107,4)</f>
        <v>Australi</v>
      </c>
      <c r="G15" s="162" t="str">
        <f>VLOOKUP($C15,'List of countries by language'!$A$2:$G$107,5)</f>
        <v>Autrália</v>
      </c>
      <c r="H15" s="162" t="str">
        <f>VLOOKUP($C15,'List of countries by language'!$A$2:$G$107,6)</f>
        <v>Австралия</v>
      </c>
      <c r="I15" s="162" t="str">
        <f>VLOOKUP($C15,'List of countries by language'!$A$2:$G$107,7)</f>
        <v>Australia</v>
      </c>
      <c r="M15" s="159">
        <v>14</v>
      </c>
      <c r="N15" s="159" t="s">
        <v>60</v>
      </c>
      <c r="O15" s="159" t="s">
        <v>713</v>
      </c>
      <c r="P15" s="159" t="s">
        <v>713</v>
      </c>
      <c r="Q15" s="159" t="s">
        <v>713</v>
      </c>
      <c r="R15" s="159" t="s">
        <v>713</v>
      </c>
      <c r="S15" s="159" t="s">
        <v>713</v>
      </c>
      <c r="T15" s="159" t="s">
        <v>713</v>
      </c>
      <c r="U15" s="159" t="s">
        <v>713</v>
      </c>
    </row>
    <row r="16" spans="1:21" x14ac:dyDescent="0.3">
      <c r="A16" s="160">
        <v>15</v>
      </c>
      <c r="B16" s="176" t="s">
        <v>61</v>
      </c>
      <c r="C16" s="185" t="s">
        <v>712</v>
      </c>
      <c r="D16" s="162" t="str">
        <f>VLOOKUP($C16,'List of countries by language'!$A$2:$G$107,2)</f>
        <v>Denmark</v>
      </c>
      <c r="E16" s="162" t="str">
        <f>VLOOKUP($C16,'List of countries by language'!$A$2:$G$107,3)</f>
        <v>Denmark</v>
      </c>
      <c r="F16" s="162" t="str">
        <f>VLOOKUP($C16,'List of countries by language'!$A$2:$G$107,4)</f>
        <v>Denmark</v>
      </c>
      <c r="G16" s="162" t="str">
        <f>VLOOKUP($C16,'List of countries by language'!$A$2:$G$107,5)</f>
        <v>Denmark</v>
      </c>
      <c r="H16" s="162" t="str">
        <f>VLOOKUP($C16,'List of countries by language'!$A$2:$G$107,6)</f>
        <v>Denmark</v>
      </c>
      <c r="I16" s="162" t="str">
        <f>VLOOKUP($C16,'List of countries by language'!$A$2:$G$107,7)</f>
        <v>Denmark</v>
      </c>
      <c r="M16" s="159">
        <v>15</v>
      </c>
      <c r="N16" s="159" t="s">
        <v>61</v>
      </c>
      <c r="O16" s="159" t="s">
        <v>297</v>
      </c>
      <c r="P16" s="159" t="s">
        <v>298</v>
      </c>
      <c r="Q16" s="159" t="s">
        <v>299</v>
      </c>
      <c r="R16" s="159" t="s">
        <v>300</v>
      </c>
      <c r="S16" s="159" t="s">
        <v>301</v>
      </c>
      <c r="T16" s="159" t="s">
        <v>302</v>
      </c>
      <c r="U16" s="159" t="s">
        <v>303</v>
      </c>
    </row>
    <row r="17" spans="1:21" x14ac:dyDescent="0.3">
      <c r="A17" s="160">
        <v>16</v>
      </c>
      <c r="B17" s="176" t="s">
        <v>62</v>
      </c>
      <c r="C17" s="185" t="s">
        <v>717</v>
      </c>
      <c r="D17" s="162" t="str">
        <f>VLOOKUP($C17,'List of countries by language'!$A$2:$G$107,2)</f>
        <v>Tunisia</v>
      </c>
      <c r="E17" s="162" t="str">
        <f>VLOOKUP($C17,'List of countries by language'!$A$2:$G$107,3)</f>
        <v>Tunisia</v>
      </c>
      <c r="F17" s="162" t="str">
        <f>VLOOKUP($C17,'List of countries by language'!$A$2:$G$107,4)</f>
        <v>Tunisia</v>
      </c>
      <c r="G17" s="162" t="str">
        <f>VLOOKUP($C17,'List of countries by language'!$A$2:$G$107,5)</f>
        <v>Tunisia</v>
      </c>
      <c r="H17" s="162" t="str">
        <f>VLOOKUP($C17,'List of countries by language'!$A$2:$G$107,6)</f>
        <v>Tunisia</v>
      </c>
      <c r="I17" s="162" t="str">
        <f>VLOOKUP($C17,'List of countries by language'!$A$2:$G$107,7)</f>
        <v>Tunisia</v>
      </c>
      <c r="M17" s="159">
        <v>16</v>
      </c>
      <c r="N17" s="159" t="s">
        <v>62</v>
      </c>
      <c r="O17" s="159" t="s">
        <v>363</v>
      </c>
      <c r="P17" s="159" t="s">
        <v>364</v>
      </c>
      <c r="Q17" s="159" t="s">
        <v>363</v>
      </c>
      <c r="R17" s="159" t="s">
        <v>363</v>
      </c>
      <c r="S17" s="159" t="s">
        <v>364</v>
      </c>
      <c r="T17" s="159" t="s">
        <v>365</v>
      </c>
      <c r="U17" s="159" t="s">
        <v>363</v>
      </c>
    </row>
    <row r="18" spans="1:21" x14ac:dyDescent="0.3">
      <c r="A18" s="160">
        <v>17</v>
      </c>
      <c r="B18" s="176" t="s">
        <v>63</v>
      </c>
      <c r="C18" s="185" t="s">
        <v>310</v>
      </c>
      <c r="D18" s="162" t="str">
        <f>VLOOKUP($C18,'List of countries by language'!$A$2:$G$107,2)</f>
        <v>Espagne</v>
      </c>
      <c r="E18" s="162" t="str">
        <f>VLOOKUP($C18,'List of countries by language'!$A$2:$G$107,3)</f>
        <v>Spanien</v>
      </c>
      <c r="F18" s="162" t="str">
        <f>VLOOKUP($C18,'List of countries by language'!$A$2:$G$107,4)</f>
        <v>Spagna</v>
      </c>
      <c r="G18" s="162" t="str">
        <f>VLOOKUP($C18,'List of countries by language'!$A$2:$G$107,5)</f>
        <v>Espanha</v>
      </c>
      <c r="H18" s="162" t="str">
        <f>VLOOKUP($C18,'List of countries by language'!$A$2:$G$107,6)</f>
        <v>Испания</v>
      </c>
      <c r="I18" s="162" t="str">
        <f>VLOOKUP($C18,'List of countries by language'!$A$2:$G$107,7)</f>
        <v>España</v>
      </c>
      <c r="M18" s="159">
        <v>17</v>
      </c>
      <c r="N18" s="159" t="s">
        <v>63</v>
      </c>
      <c r="O18" s="159" t="s">
        <v>382</v>
      </c>
      <c r="P18" s="159" t="s">
        <v>383</v>
      </c>
      <c r="Q18" s="159" t="s">
        <v>384</v>
      </c>
      <c r="R18" s="159" t="s">
        <v>385</v>
      </c>
      <c r="S18" s="159" t="s">
        <v>386</v>
      </c>
      <c r="T18" s="159" t="s">
        <v>387</v>
      </c>
      <c r="U18" s="159" t="s">
        <v>386</v>
      </c>
    </row>
    <row r="19" spans="1:21" x14ac:dyDescent="0.3">
      <c r="A19" s="160">
        <v>18</v>
      </c>
      <c r="B19" s="176" t="s">
        <v>64</v>
      </c>
      <c r="C19" s="185" t="s">
        <v>335</v>
      </c>
      <c r="D19" s="162" t="str">
        <f>VLOOKUP($C19,'List of countries by language'!$A$2:$G$107,2)</f>
        <v>Costa Rica</v>
      </c>
      <c r="E19" s="162" t="str">
        <f>VLOOKUP($C19,'List of countries by language'!$A$2:$G$107,3)</f>
        <v>Costa Rica</v>
      </c>
      <c r="F19" s="162" t="str">
        <f>VLOOKUP($C19,'List of countries by language'!$A$2:$G$107,4)</f>
        <v>Costarica</v>
      </c>
      <c r="G19" s="162" t="str">
        <f>VLOOKUP($C19,'List of countries by language'!$A$2:$G$107,5)</f>
        <v>Costa Rica</v>
      </c>
      <c r="H19" s="162" t="str">
        <f>VLOOKUP($C19,'List of countries by language'!$A$2:$G$107,6)</f>
        <v>Коста-Рика</v>
      </c>
      <c r="I19" s="162" t="str">
        <f>VLOOKUP($C19,'List of countries by language'!$A$2:$G$107,7)</f>
        <v>Costa Rica</v>
      </c>
      <c r="M19" s="159">
        <v>18</v>
      </c>
      <c r="N19" s="159" t="s">
        <v>64</v>
      </c>
      <c r="O19" s="159" t="s">
        <v>343</v>
      </c>
      <c r="P19" s="159" t="s">
        <v>344</v>
      </c>
      <c r="Q19" s="159" t="s">
        <v>345</v>
      </c>
      <c r="R19" s="159" t="s">
        <v>346</v>
      </c>
      <c r="S19" s="159" t="s">
        <v>347</v>
      </c>
      <c r="T19" s="159" t="s">
        <v>348</v>
      </c>
      <c r="U19" s="159" t="s">
        <v>349</v>
      </c>
    </row>
    <row r="20" spans="1:21" x14ac:dyDescent="0.3">
      <c r="A20" s="160">
        <v>19</v>
      </c>
      <c r="B20" s="176" t="s">
        <v>65</v>
      </c>
      <c r="C20" s="185" t="s">
        <v>366</v>
      </c>
      <c r="D20" s="162" t="str">
        <f>VLOOKUP($C20,'List of countries by language'!$A$2:$G$107,2)</f>
        <v>Allemagne</v>
      </c>
      <c r="E20" s="162" t="str">
        <f>VLOOKUP($C20,'List of countries by language'!$A$2:$G$107,3)</f>
        <v>Deutschland</v>
      </c>
      <c r="F20" s="162" t="str">
        <f>VLOOKUP($C20,'List of countries by language'!$A$2:$G$107,4)</f>
        <v>Germania</v>
      </c>
      <c r="G20" s="162" t="str">
        <f>VLOOKUP($C20,'List of countries by language'!$A$2:$G$107,5)</f>
        <v>Alemanha</v>
      </c>
      <c r="H20" s="162" t="str">
        <f>VLOOKUP($C20,'List of countries by language'!$A$2:$G$107,6)</f>
        <v>Германия</v>
      </c>
      <c r="I20" s="162" t="str">
        <f>VLOOKUP($C20,'List of countries by language'!$A$2:$G$107,7)</f>
        <v>Alemania</v>
      </c>
      <c r="M20" s="159">
        <v>19</v>
      </c>
      <c r="N20" s="159" t="s">
        <v>65</v>
      </c>
      <c r="O20" s="159" t="s">
        <v>335</v>
      </c>
      <c r="P20" s="159" t="s">
        <v>335</v>
      </c>
      <c r="Q20" s="159" t="s">
        <v>335</v>
      </c>
      <c r="R20" s="159" t="s">
        <v>336</v>
      </c>
      <c r="S20" s="159" t="s">
        <v>335</v>
      </c>
      <c r="T20" s="159" t="s">
        <v>337</v>
      </c>
      <c r="U20" s="159" t="s">
        <v>335</v>
      </c>
    </row>
    <row r="21" spans="1:21" x14ac:dyDescent="0.3">
      <c r="A21" s="160">
        <v>20</v>
      </c>
      <c r="B21" s="176" t="s">
        <v>66</v>
      </c>
      <c r="C21" s="185" t="s">
        <v>326</v>
      </c>
      <c r="D21" s="162" t="str">
        <f>VLOOKUP($C21,'List of countries by language'!$A$2:$G$107,2)</f>
        <v>Japon</v>
      </c>
      <c r="E21" s="162" t="str">
        <f>VLOOKUP($C21,'List of countries by language'!$A$2:$G$107,3)</f>
        <v>Japan</v>
      </c>
      <c r="F21" s="162" t="str">
        <f>VLOOKUP($C21,'List of countries by language'!$A$2:$G$107,4)</f>
        <v>Giappone</v>
      </c>
      <c r="G21" s="162" t="str">
        <f>VLOOKUP($C21,'List of countries by language'!$A$2:$G$107,5)</f>
        <v>Japão</v>
      </c>
      <c r="H21" s="162" t="str">
        <f>VLOOKUP($C21,'List of countries by language'!$A$2:$G$107,6)</f>
        <v>Япония</v>
      </c>
      <c r="I21" s="162" t="str">
        <f>VLOOKUP($C21,'List of countries by language'!$A$2:$G$107,7)</f>
        <v>Japón</v>
      </c>
      <c r="M21" s="159">
        <v>20</v>
      </c>
      <c r="N21" s="159" t="s">
        <v>66</v>
      </c>
      <c r="O21" s="159" t="s">
        <v>714</v>
      </c>
      <c r="P21" s="159" t="s">
        <v>714</v>
      </c>
      <c r="Q21" s="159" t="s">
        <v>714</v>
      </c>
      <c r="R21" s="159" t="s">
        <v>714</v>
      </c>
      <c r="S21" s="159" t="s">
        <v>714</v>
      </c>
      <c r="T21" s="159" t="s">
        <v>714</v>
      </c>
      <c r="U21" s="159" t="s">
        <v>714</v>
      </c>
    </row>
    <row r="22" spans="1:21" x14ac:dyDescent="0.3">
      <c r="A22" s="160">
        <v>21</v>
      </c>
      <c r="B22" s="176" t="s">
        <v>67</v>
      </c>
      <c r="C22" s="185" t="s">
        <v>376</v>
      </c>
      <c r="D22" s="162" t="str">
        <f>VLOOKUP($C22,'List of countries by language'!$A$2:$G$107,2)</f>
        <v>Belgique</v>
      </c>
      <c r="E22" s="162" t="str">
        <f>VLOOKUP($C22,'List of countries by language'!$A$2:$G$107,3)</f>
        <v>Belgien</v>
      </c>
      <c r="F22" s="162" t="str">
        <f>VLOOKUP($C22,'List of countries by language'!$A$2:$G$107,4)</f>
        <v>Belgio</v>
      </c>
      <c r="G22" s="162" t="str">
        <f>VLOOKUP($C22,'List of countries by language'!$A$2:$G$107,5)</f>
        <v>Bélgica</v>
      </c>
      <c r="H22" s="162" t="str">
        <f>VLOOKUP($C22,'List of countries by language'!$A$2:$G$107,6)</f>
        <v>Бельгия</v>
      </c>
      <c r="I22" s="162" t="str">
        <f>VLOOKUP($C22,'List of countries by language'!$A$2:$G$107,7)</f>
        <v>Bélgica</v>
      </c>
      <c r="M22" s="159">
        <v>21</v>
      </c>
      <c r="N22" s="159" t="s">
        <v>67</v>
      </c>
      <c r="O22" s="159" t="s">
        <v>366</v>
      </c>
      <c r="P22" s="159" t="s">
        <v>367</v>
      </c>
      <c r="Q22" s="159" t="s">
        <v>368</v>
      </c>
      <c r="R22" s="159" t="s">
        <v>369</v>
      </c>
      <c r="S22" s="159" t="s">
        <v>370</v>
      </c>
      <c r="T22" s="159" t="s">
        <v>371</v>
      </c>
      <c r="U22" s="159" t="s">
        <v>372</v>
      </c>
    </row>
    <row r="23" spans="1:21" x14ac:dyDescent="0.3">
      <c r="A23" s="160">
        <v>22</v>
      </c>
      <c r="B23" s="176" t="s">
        <v>68</v>
      </c>
      <c r="C23" s="185" t="s">
        <v>726</v>
      </c>
      <c r="D23" s="162" t="str">
        <f>VLOOKUP($C23,'List of countries by language'!$A$2:$G$107,2)</f>
        <v>Canada</v>
      </c>
      <c r="E23" s="162" t="str">
        <f>VLOOKUP($C23,'List of countries by language'!$A$2:$G$107,3)</f>
        <v>Canada</v>
      </c>
      <c r="F23" s="162" t="str">
        <f>VLOOKUP($C23,'List of countries by language'!$A$2:$G$107,4)</f>
        <v>Canada</v>
      </c>
      <c r="G23" s="162" t="str">
        <f>VLOOKUP($C23,'List of countries by language'!$A$2:$G$107,5)</f>
        <v>Canada</v>
      </c>
      <c r="H23" s="162" t="str">
        <f>VLOOKUP($C23,'List of countries by language'!$A$2:$G$107,6)</f>
        <v>Canada</v>
      </c>
      <c r="I23" s="162" t="str">
        <f>VLOOKUP($C23,'List of countries by language'!$A$2:$G$107,7)</f>
        <v>Canada</v>
      </c>
      <c r="M23" s="159">
        <v>22</v>
      </c>
      <c r="N23" s="159" t="s">
        <v>68</v>
      </c>
      <c r="O23" s="159" t="s">
        <v>304</v>
      </c>
      <c r="P23" s="159" t="s">
        <v>305</v>
      </c>
      <c r="Q23" s="159" t="s">
        <v>306</v>
      </c>
      <c r="R23" s="159" t="s">
        <v>307</v>
      </c>
      <c r="S23" s="159" t="s">
        <v>308</v>
      </c>
      <c r="T23" s="159" t="s">
        <v>309</v>
      </c>
      <c r="U23" s="159" t="s">
        <v>308</v>
      </c>
    </row>
    <row r="24" spans="1:21" x14ac:dyDescent="0.3">
      <c r="A24" s="160">
        <v>23</v>
      </c>
      <c r="B24" s="176" t="s">
        <v>69</v>
      </c>
      <c r="C24" s="185" t="s">
        <v>710</v>
      </c>
      <c r="D24" s="162" t="str">
        <f>VLOOKUP($C24,'List of countries by language'!$A$2:$G$107,2)</f>
        <v>Morocco</v>
      </c>
      <c r="E24" s="162" t="str">
        <f>VLOOKUP($C24,'List of countries by language'!$A$2:$G$107,3)</f>
        <v>Morocco</v>
      </c>
      <c r="F24" s="162" t="str">
        <f>VLOOKUP($C24,'List of countries by language'!$A$2:$G$107,4)</f>
        <v>Morocco</v>
      </c>
      <c r="G24" s="162" t="str">
        <f>VLOOKUP($C24,'List of countries by language'!$A$2:$G$107,5)</f>
        <v>Morocco</v>
      </c>
      <c r="H24" s="162" t="str">
        <f>VLOOKUP($C24,'List of countries by language'!$A$2:$G$107,6)</f>
        <v>Morocco</v>
      </c>
      <c r="I24" s="162" t="str">
        <f>VLOOKUP($C24,'List of countries by language'!$A$2:$G$107,7)</f>
        <v>Morocco</v>
      </c>
      <c r="M24" s="159">
        <v>23</v>
      </c>
      <c r="N24" s="159" t="s">
        <v>69</v>
      </c>
      <c r="O24" s="159" t="s">
        <v>715</v>
      </c>
      <c r="P24" s="159" t="s">
        <v>715</v>
      </c>
      <c r="Q24" s="159" t="s">
        <v>715</v>
      </c>
      <c r="R24" s="159" t="s">
        <v>715</v>
      </c>
      <c r="S24" s="159" t="s">
        <v>715</v>
      </c>
      <c r="T24" s="159" t="s">
        <v>715</v>
      </c>
      <c r="U24" s="159" t="s">
        <v>715</v>
      </c>
    </row>
    <row r="25" spans="1:21" x14ac:dyDescent="0.3">
      <c r="A25" s="160">
        <v>24</v>
      </c>
      <c r="B25" s="176" t="s">
        <v>70</v>
      </c>
      <c r="C25" s="185" t="s">
        <v>297</v>
      </c>
      <c r="D25" s="162" t="str">
        <f>VLOOKUP($C25,'List of countries by language'!$A$2:$G$107,2)</f>
        <v>Croatie</v>
      </c>
      <c r="E25" s="162" t="str">
        <f>VLOOKUP($C25,'List of countries by language'!$A$2:$G$107,3)</f>
        <v>Kroatien</v>
      </c>
      <c r="F25" s="162" t="str">
        <f>VLOOKUP($C25,'List of countries by language'!$A$2:$G$107,4)</f>
        <v>Croazia</v>
      </c>
      <c r="G25" s="162" t="str">
        <f>VLOOKUP($C25,'List of countries by language'!$A$2:$G$107,5)</f>
        <v>Croácia</v>
      </c>
      <c r="H25" s="162" t="str">
        <f>VLOOKUP($C25,'List of countries by language'!$A$2:$G$107,6)</f>
        <v>Хорватия</v>
      </c>
      <c r="I25" s="162" t="str">
        <f>VLOOKUP($C25,'List of countries by language'!$A$2:$G$107,7)</f>
        <v>Croacia</v>
      </c>
      <c r="M25" s="159">
        <v>24</v>
      </c>
      <c r="N25" s="159" t="s">
        <v>70</v>
      </c>
      <c r="O25" s="159" t="s">
        <v>388</v>
      </c>
      <c r="P25" s="159" t="s">
        <v>389</v>
      </c>
      <c r="Q25" s="159" t="s">
        <v>390</v>
      </c>
      <c r="R25" s="159" t="s">
        <v>391</v>
      </c>
      <c r="S25" s="159" t="s">
        <v>392</v>
      </c>
      <c r="T25" s="159" t="s">
        <v>393</v>
      </c>
      <c r="U25" s="159" t="s">
        <v>394</v>
      </c>
    </row>
    <row r="26" spans="1:21" x14ac:dyDescent="0.3">
      <c r="A26" s="160">
        <v>25</v>
      </c>
      <c r="B26" s="176" t="s">
        <v>71</v>
      </c>
      <c r="C26" s="185" t="s">
        <v>382</v>
      </c>
      <c r="D26" s="162" t="str">
        <f>VLOOKUP($C26,'List of countries by language'!$A$2:$G$107,2)</f>
        <v>Brésil</v>
      </c>
      <c r="E26" s="162" t="str">
        <f>VLOOKUP($C26,'List of countries by language'!$A$2:$G$107,3)</f>
        <v>Brasilien</v>
      </c>
      <c r="F26" s="162" t="str">
        <f>VLOOKUP($C26,'List of countries by language'!$A$2:$G$107,4)</f>
        <v>Brasile</v>
      </c>
      <c r="G26" s="162" t="str">
        <f>VLOOKUP($C26,'List of countries by language'!$A$2:$G$107,5)</f>
        <v>Brasil</v>
      </c>
      <c r="H26" s="162" t="str">
        <f>VLOOKUP($C26,'List of countries by language'!$A$2:$G$107,6)</f>
        <v>Бразилия</v>
      </c>
      <c r="I26" s="162" t="str">
        <f>VLOOKUP($C26,'List of countries by language'!$A$2:$G$107,7)</f>
        <v>Brasil</v>
      </c>
      <c r="M26" s="159">
        <v>25</v>
      </c>
      <c r="N26" s="159" t="s">
        <v>71</v>
      </c>
      <c r="O26" s="159" t="s">
        <v>376</v>
      </c>
      <c r="P26" s="159" t="s">
        <v>377</v>
      </c>
      <c r="Q26" s="159" t="s">
        <v>378</v>
      </c>
      <c r="R26" s="159" t="s">
        <v>379</v>
      </c>
      <c r="S26" s="159" t="s">
        <v>380</v>
      </c>
      <c r="T26" s="159" t="s">
        <v>381</v>
      </c>
      <c r="U26" s="159" t="s">
        <v>380</v>
      </c>
    </row>
    <row r="27" spans="1:21" x14ac:dyDescent="0.3">
      <c r="A27" s="160">
        <v>26</v>
      </c>
      <c r="B27" s="176" t="s">
        <v>72</v>
      </c>
      <c r="C27" s="185" t="s">
        <v>714</v>
      </c>
      <c r="D27" s="162" t="str">
        <f>VLOOKUP($C27,'List of countries by language'!$A$2:$G$107,2)</f>
        <v>Serbia</v>
      </c>
      <c r="E27" s="162" t="str">
        <f>VLOOKUP($C27,'List of countries by language'!$A$2:$G$107,3)</f>
        <v>Serbia</v>
      </c>
      <c r="F27" s="162" t="str">
        <f>VLOOKUP($C27,'List of countries by language'!$A$2:$G$107,4)</f>
        <v>Serbia</v>
      </c>
      <c r="G27" s="162" t="str">
        <f>VLOOKUP($C27,'List of countries by language'!$A$2:$G$107,5)</f>
        <v>Serbia</v>
      </c>
      <c r="H27" s="162" t="str">
        <f>VLOOKUP($C27,'List of countries by language'!$A$2:$G$107,6)</f>
        <v>Serbia</v>
      </c>
      <c r="I27" s="162" t="str">
        <f>VLOOKUP($C27,'List of countries by language'!$A$2:$G$107,7)</f>
        <v>Serbia</v>
      </c>
      <c r="M27" s="159">
        <v>26</v>
      </c>
      <c r="N27" s="159" t="s">
        <v>72</v>
      </c>
      <c r="O27" s="159" t="s">
        <v>716</v>
      </c>
      <c r="P27" s="159" t="s">
        <v>716</v>
      </c>
      <c r="Q27" s="159" t="s">
        <v>716</v>
      </c>
      <c r="R27" s="159" t="s">
        <v>716</v>
      </c>
      <c r="S27" s="159" t="s">
        <v>716</v>
      </c>
      <c r="T27" s="159" t="s">
        <v>716</v>
      </c>
      <c r="U27" s="159" t="s">
        <v>716</v>
      </c>
    </row>
    <row r="28" spans="1:21" x14ac:dyDescent="0.3">
      <c r="A28" s="160">
        <v>27</v>
      </c>
      <c r="B28" s="176" t="s">
        <v>73</v>
      </c>
      <c r="C28" s="185" t="s">
        <v>343</v>
      </c>
      <c r="D28" s="162" t="str">
        <f>VLOOKUP($C28,'List of countries by language'!$A$2:$G$107,2)</f>
        <v>Suisse</v>
      </c>
      <c r="E28" s="162" t="str">
        <f>VLOOKUP($C28,'List of countries by language'!$A$2:$G$107,3)</f>
        <v>Schweiz</v>
      </c>
      <c r="F28" s="162" t="str">
        <f>VLOOKUP($C28,'List of countries by language'!$A$2:$G$107,4)</f>
        <v>Svizzera</v>
      </c>
      <c r="G28" s="162" t="str">
        <f>VLOOKUP($C28,'List of countries by language'!$A$2:$G$107,5)</f>
        <v>Suiça</v>
      </c>
      <c r="H28" s="162" t="str">
        <f>VLOOKUP($C28,'List of countries by language'!$A$2:$G$107,6)</f>
        <v>Швейцария</v>
      </c>
      <c r="I28" s="162" t="str">
        <f>VLOOKUP($C28,'List of countries by language'!$A$2:$G$107,7)</f>
        <v>Suiza</v>
      </c>
      <c r="M28" s="159">
        <v>27</v>
      </c>
      <c r="N28" s="159" t="s">
        <v>73</v>
      </c>
      <c r="O28" s="159" t="s">
        <v>717</v>
      </c>
      <c r="P28" s="159" t="s">
        <v>717</v>
      </c>
      <c r="Q28" s="159" t="s">
        <v>717</v>
      </c>
      <c r="R28" s="159" t="s">
        <v>717</v>
      </c>
      <c r="S28" s="159" t="s">
        <v>717</v>
      </c>
      <c r="T28" s="159" t="s">
        <v>717</v>
      </c>
      <c r="U28" s="159" t="s">
        <v>717</v>
      </c>
    </row>
    <row r="29" spans="1:21" x14ac:dyDescent="0.3">
      <c r="A29" s="160">
        <v>28</v>
      </c>
      <c r="B29" s="176" t="s">
        <v>74</v>
      </c>
      <c r="C29" s="185" t="s">
        <v>727</v>
      </c>
      <c r="D29" s="162" t="str">
        <f>VLOOKUP($C29,'List of countries by language'!$A$2:$G$107,2)</f>
        <v>Brésil</v>
      </c>
      <c r="E29" s="162" t="str">
        <f>VLOOKUP($C29,'List of countries by language'!$A$2:$G$107,3)</f>
        <v>Brasilien</v>
      </c>
      <c r="F29" s="162" t="str">
        <f>VLOOKUP($C29,'List of countries by language'!$A$2:$G$107,4)</f>
        <v>Brasile</v>
      </c>
      <c r="G29" s="162" t="str">
        <f>VLOOKUP($C29,'List of countries by language'!$A$2:$G$107,5)</f>
        <v>Brasil</v>
      </c>
      <c r="H29" s="162" t="str">
        <f>VLOOKUP($C29,'List of countries by language'!$A$2:$G$107,6)</f>
        <v>Бразилия</v>
      </c>
      <c r="I29" s="162" t="str">
        <f>VLOOKUP($C29,'List of countries by language'!$A$2:$G$107,7)</f>
        <v>Brasil</v>
      </c>
      <c r="M29" s="159">
        <v>28</v>
      </c>
      <c r="N29" s="159" t="s">
        <v>74</v>
      </c>
      <c r="O29" s="159" t="s">
        <v>338</v>
      </c>
      <c r="P29" s="159" t="s">
        <v>339</v>
      </c>
      <c r="Q29" s="159" t="s">
        <v>338</v>
      </c>
      <c r="R29" s="159" t="s">
        <v>340</v>
      </c>
      <c r="S29" s="159" t="s">
        <v>341</v>
      </c>
      <c r="T29" s="159" t="s">
        <v>342</v>
      </c>
      <c r="U29" s="159" t="s">
        <v>341</v>
      </c>
    </row>
    <row r="30" spans="1:21" x14ac:dyDescent="0.3">
      <c r="A30" s="160">
        <v>29</v>
      </c>
      <c r="B30" s="176" t="s">
        <v>27</v>
      </c>
      <c r="C30" s="185" t="s">
        <v>373</v>
      </c>
      <c r="D30" s="162" t="str">
        <f>VLOOKUP($C30,'List of countries by language'!$A$2:$G$107,2)</f>
        <v>Portugal</v>
      </c>
      <c r="E30" s="162" t="str">
        <f>VLOOKUP($C30,'List of countries by language'!$A$2:$G$107,3)</f>
        <v>Portugal</v>
      </c>
      <c r="F30" s="162" t="str">
        <f>VLOOKUP($C30,'List of countries by language'!$A$2:$G$107,4)</f>
        <v>Portogallo</v>
      </c>
      <c r="G30" s="162" t="str">
        <f>VLOOKUP($C30,'List of countries by language'!$A$2:$G$107,5)</f>
        <v>Portugal</v>
      </c>
      <c r="H30" s="162" t="str">
        <f>VLOOKUP($C30,'List of countries by language'!$A$2:$G$107,6)</f>
        <v>Португалия</v>
      </c>
      <c r="I30" s="162" t="str">
        <f>VLOOKUP($C30,'List of countries by language'!$A$2:$G$107,7)</f>
        <v>Portugal</v>
      </c>
      <c r="M30" s="159">
        <v>29</v>
      </c>
      <c r="N30" s="159" t="s">
        <v>27</v>
      </c>
      <c r="O30" s="159" t="s">
        <v>718</v>
      </c>
      <c r="P30" s="159" t="s">
        <v>718</v>
      </c>
      <c r="Q30" s="159" t="s">
        <v>718</v>
      </c>
      <c r="R30" s="159" t="s">
        <v>718</v>
      </c>
      <c r="S30" s="159" t="s">
        <v>718</v>
      </c>
      <c r="T30" s="159" t="s">
        <v>718</v>
      </c>
      <c r="U30" s="159" t="s">
        <v>718</v>
      </c>
    </row>
    <row r="31" spans="1:21" x14ac:dyDescent="0.3">
      <c r="A31" s="160">
        <v>30</v>
      </c>
      <c r="B31" s="176" t="s">
        <v>28</v>
      </c>
      <c r="C31" s="185" t="s">
        <v>728</v>
      </c>
      <c r="D31" s="162" t="str">
        <f>VLOOKUP($C31,'List of countries by language'!$A$2:$G$107,2)</f>
        <v>Ghana</v>
      </c>
      <c r="E31" s="162" t="str">
        <f>VLOOKUP($C31,'List of countries by language'!$A$2:$G$107,3)</f>
        <v>Ghana</v>
      </c>
      <c r="F31" s="162" t="str">
        <f>VLOOKUP($C31,'List of countries by language'!$A$2:$G$107,4)</f>
        <v>Ghana</v>
      </c>
      <c r="G31" s="162" t="str">
        <f>VLOOKUP($C31,'List of countries by language'!$A$2:$G$107,5)</f>
        <v>Ghana</v>
      </c>
      <c r="H31" s="162" t="str">
        <f>VLOOKUP($C31,'List of countries by language'!$A$2:$G$107,6)</f>
        <v>Ghana</v>
      </c>
      <c r="I31" s="162" t="str">
        <f>VLOOKUP($C31,'List of countries by language'!$A$2:$G$107,7)</f>
        <v>Ghana</v>
      </c>
      <c r="M31" s="159">
        <v>30</v>
      </c>
      <c r="N31" s="159" t="s">
        <v>28</v>
      </c>
      <c r="O31" s="159" t="s">
        <v>719</v>
      </c>
      <c r="P31" s="159" t="s">
        <v>719</v>
      </c>
      <c r="Q31" s="159" t="s">
        <v>719</v>
      </c>
      <c r="R31" s="159" t="s">
        <v>719</v>
      </c>
      <c r="S31" s="159" t="s">
        <v>719</v>
      </c>
      <c r="T31" s="159" t="s">
        <v>719</v>
      </c>
      <c r="U31" s="159" t="s">
        <v>719</v>
      </c>
    </row>
    <row r="32" spans="1:21" x14ac:dyDescent="0.3">
      <c r="A32" s="160">
        <v>31</v>
      </c>
      <c r="B32" s="176" t="s">
        <v>29</v>
      </c>
      <c r="C32" s="185" t="s">
        <v>332</v>
      </c>
      <c r="D32" s="162" t="str">
        <f>VLOOKUP($C32,'List of countries by language'!$A$2:$G$107,2)</f>
        <v>Uruguay</v>
      </c>
      <c r="E32" s="162" t="str">
        <f>VLOOKUP($C32,'List of countries by language'!$A$2:$G$107,3)</f>
        <v>Uruguay</v>
      </c>
      <c r="F32" s="162" t="str">
        <f>VLOOKUP($C32,'List of countries by language'!$A$2:$G$107,4)</f>
        <v>Uruguay</v>
      </c>
      <c r="G32" s="162" t="str">
        <f>VLOOKUP($C32,'List of countries by language'!$A$2:$G$107,5)</f>
        <v>Uruguai</v>
      </c>
      <c r="H32" s="162" t="str">
        <f>VLOOKUP($C32,'List of countries by language'!$A$2:$G$107,6)</f>
        <v>Уругвай</v>
      </c>
      <c r="I32" s="162" t="str">
        <f>VLOOKUP($C32,'List of countries by language'!$A$2:$G$107,7)</f>
        <v>Uruguay</v>
      </c>
      <c r="M32" s="159">
        <v>31</v>
      </c>
      <c r="N32" s="159" t="s">
        <v>29</v>
      </c>
      <c r="O32" s="159" t="s">
        <v>323</v>
      </c>
      <c r="P32" s="159" t="s">
        <v>323</v>
      </c>
      <c r="Q32" s="159" t="s">
        <v>324</v>
      </c>
      <c r="R32" s="159" t="s">
        <v>324</v>
      </c>
      <c r="S32" s="159" t="s">
        <v>324</v>
      </c>
      <c r="T32" s="159" t="s">
        <v>325</v>
      </c>
      <c r="U32" s="159" t="s">
        <v>324</v>
      </c>
    </row>
    <row r="33" spans="1:21" x14ac:dyDescent="0.3">
      <c r="A33" s="160">
        <v>32</v>
      </c>
      <c r="B33" s="176" t="s">
        <v>30</v>
      </c>
      <c r="C33" s="185" t="s">
        <v>729</v>
      </c>
      <c r="D33" s="162" t="str">
        <f>VLOOKUP($C33,'List of countries by language'!$A$2:$G$107,2)</f>
        <v>Korea Republic</v>
      </c>
      <c r="E33" s="162" t="str">
        <f>VLOOKUP($C33,'List of countries by language'!$A$2:$G$107,3)</f>
        <v>Korea Republic</v>
      </c>
      <c r="F33" s="162" t="str">
        <f>VLOOKUP($C33,'List of countries by language'!$A$2:$G$107,4)</f>
        <v>Korea Republic</v>
      </c>
      <c r="G33" s="162" t="str">
        <f>VLOOKUP($C33,'List of countries by language'!$A$2:$G$107,5)</f>
        <v>Korea Republic</v>
      </c>
      <c r="H33" s="162" t="str">
        <f>VLOOKUP($C33,'List of countries by language'!$A$2:$G$107,6)</f>
        <v>Korea Republic</v>
      </c>
      <c r="I33" s="162" t="str">
        <f>VLOOKUP($C33,'List of countries by language'!$A$2:$G$107,7)</f>
        <v>Korea Republic</v>
      </c>
      <c r="M33" s="159">
        <v>32</v>
      </c>
      <c r="N33" s="159" t="s">
        <v>30</v>
      </c>
      <c r="O33" s="159" t="s">
        <v>326</v>
      </c>
      <c r="P33" s="159" t="s">
        <v>327</v>
      </c>
      <c r="Q33" s="159" t="s">
        <v>326</v>
      </c>
      <c r="R33" s="159" t="s">
        <v>328</v>
      </c>
      <c r="S33" s="159" t="s">
        <v>329</v>
      </c>
      <c r="T33" s="159" t="s">
        <v>330</v>
      </c>
      <c r="U33" s="159" t="s">
        <v>331</v>
      </c>
    </row>
    <row r="34" spans="1:21" x14ac:dyDescent="0.3">
      <c r="A34" s="160">
        <v>33</v>
      </c>
      <c r="B34" s="176" t="s">
        <v>282</v>
      </c>
      <c r="C34" s="161" t="s">
        <v>814</v>
      </c>
      <c r="D34" s="163" t="s">
        <v>395</v>
      </c>
      <c r="E34" s="163" t="s">
        <v>396</v>
      </c>
      <c r="F34" s="163" t="s">
        <v>397</v>
      </c>
      <c r="G34" s="163" t="s">
        <v>398</v>
      </c>
      <c r="H34" s="161" t="s">
        <v>399</v>
      </c>
      <c r="I34" s="161" t="s">
        <v>398</v>
      </c>
      <c r="M34" s="159">
        <v>33</v>
      </c>
      <c r="N34" s="159" t="s">
        <v>282</v>
      </c>
      <c r="O34" s="159" t="s">
        <v>282</v>
      </c>
      <c r="P34" s="159" t="s">
        <v>395</v>
      </c>
      <c r="Q34" s="159" t="s">
        <v>396</v>
      </c>
      <c r="R34" s="159" t="s">
        <v>397</v>
      </c>
      <c r="S34" s="159" t="s">
        <v>398</v>
      </c>
      <c r="T34" s="159" t="s">
        <v>399</v>
      </c>
      <c r="U34" s="159" t="s">
        <v>398</v>
      </c>
    </row>
    <row r="35" spans="1:21" x14ac:dyDescent="0.3">
      <c r="A35" s="160">
        <v>34</v>
      </c>
      <c r="B35" s="176" t="s">
        <v>400</v>
      </c>
      <c r="C35" s="161" t="s">
        <v>813</v>
      </c>
      <c r="D35" s="163" t="s">
        <v>401</v>
      </c>
      <c r="E35" s="163" t="s">
        <v>402</v>
      </c>
      <c r="F35" s="163" t="s">
        <v>403</v>
      </c>
      <c r="G35" s="163" t="s">
        <v>404</v>
      </c>
      <c r="H35" s="161" t="s">
        <v>405</v>
      </c>
      <c r="I35" s="161" t="s">
        <v>406</v>
      </c>
      <c r="M35" s="159">
        <v>34</v>
      </c>
      <c r="N35" s="159" t="s">
        <v>400</v>
      </c>
      <c r="O35" s="159" t="s">
        <v>400</v>
      </c>
      <c r="P35" s="159" t="s">
        <v>401</v>
      </c>
      <c r="Q35" s="159" t="s">
        <v>402</v>
      </c>
      <c r="R35" s="159" t="s">
        <v>403</v>
      </c>
      <c r="S35" s="159" t="s">
        <v>404</v>
      </c>
      <c r="T35" s="159" t="s">
        <v>405</v>
      </c>
      <c r="U35" s="159" t="s">
        <v>406</v>
      </c>
    </row>
    <row r="36" spans="1:21" x14ac:dyDescent="0.3">
      <c r="A36" s="160">
        <v>35</v>
      </c>
      <c r="B36" s="161" t="s">
        <v>407</v>
      </c>
      <c r="C36" s="161" t="s">
        <v>407</v>
      </c>
      <c r="D36" s="163" t="s">
        <v>408</v>
      </c>
      <c r="E36" s="163" t="s">
        <v>409</v>
      </c>
      <c r="F36" s="163" t="s">
        <v>410</v>
      </c>
      <c r="G36" s="163" t="s">
        <v>411</v>
      </c>
      <c r="H36" s="163" t="s">
        <v>412</v>
      </c>
      <c r="I36" s="161" t="s">
        <v>413</v>
      </c>
      <c r="M36" s="159">
        <v>35</v>
      </c>
      <c r="N36" s="159" t="s">
        <v>407</v>
      </c>
      <c r="O36" s="159" t="s">
        <v>407</v>
      </c>
      <c r="P36" s="159" t="s">
        <v>408</v>
      </c>
      <c r="Q36" s="159" t="s">
        <v>409</v>
      </c>
      <c r="R36" s="159" t="s">
        <v>410</v>
      </c>
      <c r="S36" s="159" t="s">
        <v>411</v>
      </c>
      <c r="T36" s="159" t="s">
        <v>412</v>
      </c>
      <c r="U36" s="159" t="s">
        <v>413</v>
      </c>
    </row>
    <row r="37" spans="1:21" x14ac:dyDescent="0.3">
      <c r="A37" s="160">
        <v>36</v>
      </c>
      <c r="B37" s="161" t="s">
        <v>414</v>
      </c>
      <c r="C37" s="161" t="s">
        <v>414</v>
      </c>
      <c r="D37" s="163" t="s">
        <v>415</v>
      </c>
      <c r="E37" s="163" t="s">
        <v>416</v>
      </c>
      <c r="F37" s="163" t="s">
        <v>417</v>
      </c>
      <c r="G37" s="163" t="s">
        <v>418</v>
      </c>
      <c r="H37" s="163" t="s">
        <v>419</v>
      </c>
      <c r="I37" s="161" t="s">
        <v>420</v>
      </c>
      <c r="M37" s="159">
        <v>36</v>
      </c>
      <c r="N37" s="159" t="s">
        <v>414</v>
      </c>
      <c r="O37" s="159" t="s">
        <v>414</v>
      </c>
      <c r="P37" s="159" t="s">
        <v>415</v>
      </c>
      <c r="Q37" s="159" t="s">
        <v>416</v>
      </c>
      <c r="R37" s="159" t="s">
        <v>417</v>
      </c>
      <c r="S37" s="159" t="s">
        <v>418</v>
      </c>
      <c r="T37" s="159" t="s">
        <v>419</v>
      </c>
      <c r="U37" s="159" t="s">
        <v>420</v>
      </c>
    </row>
    <row r="38" spans="1:21" x14ac:dyDescent="0.3">
      <c r="A38" s="160">
        <v>37</v>
      </c>
      <c r="B38" s="161" t="s">
        <v>40</v>
      </c>
      <c r="C38" s="161" t="s">
        <v>40</v>
      </c>
      <c r="D38" s="163" t="s">
        <v>421</v>
      </c>
      <c r="E38" s="163" t="s">
        <v>422</v>
      </c>
      <c r="F38" s="163" t="s">
        <v>423</v>
      </c>
      <c r="G38" s="163" t="s">
        <v>424</v>
      </c>
      <c r="H38" s="163" t="s">
        <v>425</v>
      </c>
      <c r="I38" s="161" t="s">
        <v>424</v>
      </c>
      <c r="M38" s="159">
        <v>37</v>
      </c>
      <c r="N38" s="159" t="s">
        <v>40</v>
      </c>
      <c r="O38" s="159" t="s">
        <v>40</v>
      </c>
      <c r="P38" s="159" t="s">
        <v>421</v>
      </c>
      <c r="Q38" s="159" t="s">
        <v>422</v>
      </c>
      <c r="R38" s="159" t="s">
        <v>423</v>
      </c>
      <c r="S38" s="159" t="s">
        <v>424</v>
      </c>
      <c r="T38" s="159" t="s">
        <v>425</v>
      </c>
      <c r="U38" s="159" t="s">
        <v>424</v>
      </c>
    </row>
    <row r="39" spans="1:21" x14ac:dyDescent="0.3">
      <c r="A39" s="160">
        <v>38</v>
      </c>
      <c r="B39" s="176" t="s">
        <v>41</v>
      </c>
      <c r="C39" s="161" t="s">
        <v>41</v>
      </c>
      <c r="D39" s="163" t="s">
        <v>41</v>
      </c>
      <c r="E39" s="163" t="s">
        <v>426</v>
      </c>
      <c r="F39" s="163" t="s">
        <v>427</v>
      </c>
      <c r="G39" s="163" t="s">
        <v>427</v>
      </c>
      <c r="H39" s="163" t="s">
        <v>428</v>
      </c>
      <c r="I39" s="161" t="s">
        <v>429</v>
      </c>
      <c r="M39" s="159">
        <v>38</v>
      </c>
      <c r="N39" s="159" t="s">
        <v>41</v>
      </c>
      <c r="O39" s="159" t="s">
        <v>41</v>
      </c>
      <c r="P39" s="159" t="s">
        <v>41</v>
      </c>
      <c r="Q39" s="159" t="s">
        <v>426</v>
      </c>
      <c r="R39" s="159" t="s">
        <v>427</v>
      </c>
      <c r="S39" s="159" t="s">
        <v>427</v>
      </c>
      <c r="T39" s="159" t="s">
        <v>428</v>
      </c>
      <c r="U39" s="159" t="s">
        <v>429</v>
      </c>
    </row>
    <row r="40" spans="1:21" x14ac:dyDescent="0.3">
      <c r="A40" s="160">
        <v>39</v>
      </c>
      <c r="B40" s="176" t="s">
        <v>430</v>
      </c>
      <c r="C40" s="161" t="s">
        <v>430</v>
      </c>
      <c r="D40" s="163" t="s">
        <v>431</v>
      </c>
      <c r="E40" s="163" t="s">
        <v>432</v>
      </c>
      <c r="F40" s="163" t="s">
        <v>433</v>
      </c>
      <c r="G40" s="163" t="s">
        <v>434</v>
      </c>
      <c r="H40" s="163" t="s">
        <v>435</v>
      </c>
      <c r="I40" s="161" t="s">
        <v>434</v>
      </c>
      <c r="M40" s="159">
        <v>39</v>
      </c>
      <c r="N40" s="159" t="s">
        <v>430</v>
      </c>
      <c r="O40" s="159" t="s">
        <v>430</v>
      </c>
      <c r="P40" s="159" t="s">
        <v>431</v>
      </c>
      <c r="Q40" s="159" t="s">
        <v>432</v>
      </c>
      <c r="R40" s="159" t="s">
        <v>433</v>
      </c>
      <c r="S40" s="159" t="s">
        <v>434</v>
      </c>
      <c r="T40" s="159" t="s">
        <v>435</v>
      </c>
      <c r="U40" s="159" t="s">
        <v>434</v>
      </c>
    </row>
    <row r="41" spans="1:21" x14ac:dyDescent="0.3">
      <c r="A41" s="160">
        <v>40</v>
      </c>
      <c r="B41" s="176" t="s">
        <v>436</v>
      </c>
      <c r="C41" s="161" t="s">
        <v>218</v>
      </c>
      <c r="D41" s="163" t="s">
        <v>436</v>
      </c>
      <c r="E41" s="163" t="s">
        <v>437</v>
      </c>
      <c r="F41" s="163" t="s">
        <v>438</v>
      </c>
      <c r="G41" s="163" t="s">
        <v>439</v>
      </c>
      <c r="H41" s="163" t="s">
        <v>440</v>
      </c>
      <c r="I41" s="161" t="s">
        <v>439</v>
      </c>
      <c r="M41" s="159">
        <v>40</v>
      </c>
      <c r="N41" s="159" t="s">
        <v>436</v>
      </c>
      <c r="O41" s="159" t="s">
        <v>218</v>
      </c>
      <c r="P41" s="159" t="s">
        <v>436</v>
      </c>
      <c r="Q41" s="159" t="s">
        <v>437</v>
      </c>
      <c r="R41" s="159" t="s">
        <v>438</v>
      </c>
      <c r="S41" s="159" t="s">
        <v>439</v>
      </c>
      <c r="T41" s="159" t="s">
        <v>440</v>
      </c>
      <c r="U41" s="159" t="s">
        <v>439</v>
      </c>
    </row>
    <row r="42" spans="1:21" x14ac:dyDescent="0.3">
      <c r="A42" s="160">
        <v>41</v>
      </c>
      <c r="B42" s="176" t="s">
        <v>441</v>
      </c>
      <c r="C42" s="161" t="s">
        <v>441</v>
      </c>
      <c r="D42" s="163" t="s">
        <v>442</v>
      </c>
      <c r="E42" s="163" t="s">
        <v>443</v>
      </c>
      <c r="F42" s="163" t="s">
        <v>444</v>
      </c>
      <c r="G42" s="163" t="s">
        <v>445</v>
      </c>
      <c r="H42" s="161" t="s">
        <v>446</v>
      </c>
      <c r="I42" s="161" t="s">
        <v>447</v>
      </c>
      <c r="M42" s="159">
        <v>41</v>
      </c>
      <c r="N42" s="159" t="s">
        <v>441</v>
      </c>
      <c r="O42" s="159" t="s">
        <v>441</v>
      </c>
      <c r="P42" s="159" t="s">
        <v>442</v>
      </c>
      <c r="Q42" s="159" t="s">
        <v>443</v>
      </c>
      <c r="R42" s="159" t="s">
        <v>444</v>
      </c>
      <c r="S42" s="159" t="s">
        <v>445</v>
      </c>
      <c r="T42" s="159" t="s">
        <v>446</v>
      </c>
      <c r="U42" s="159" t="s">
        <v>447</v>
      </c>
    </row>
    <row r="43" spans="1:21" x14ac:dyDescent="0.3">
      <c r="A43" s="160">
        <v>42</v>
      </c>
      <c r="B43" s="176" t="s">
        <v>77</v>
      </c>
      <c r="C43" s="161" t="s">
        <v>77</v>
      </c>
      <c r="D43" s="163" t="s">
        <v>448</v>
      </c>
      <c r="E43" s="163" t="s">
        <v>449</v>
      </c>
      <c r="F43" s="163" t="s">
        <v>450</v>
      </c>
      <c r="G43" s="163" t="s">
        <v>451</v>
      </c>
      <c r="H43" s="163" t="s">
        <v>452</v>
      </c>
      <c r="I43" s="161" t="s">
        <v>453</v>
      </c>
      <c r="M43" s="159">
        <v>42</v>
      </c>
      <c r="N43" s="159" t="s">
        <v>77</v>
      </c>
      <c r="O43" s="159" t="s">
        <v>77</v>
      </c>
      <c r="P43" s="159" t="s">
        <v>448</v>
      </c>
      <c r="Q43" s="159" t="s">
        <v>449</v>
      </c>
      <c r="R43" s="159" t="s">
        <v>450</v>
      </c>
      <c r="S43" s="159" t="s">
        <v>451</v>
      </c>
      <c r="T43" s="159" t="s">
        <v>452</v>
      </c>
      <c r="U43" s="159" t="s">
        <v>453</v>
      </c>
    </row>
    <row r="44" spans="1:21" x14ac:dyDescent="0.3">
      <c r="A44" s="160">
        <v>43</v>
      </c>
      <c r="B44" s="176" t="s">
        <v>454</v>
      </c>
      <c r="C44" s="161" t="s">
        <v>454</v>
      </c>
      <c r="D44" s="163" t="s">
        <v>455</v>
      </c>
      <c r="E44" s="163" t="s">
        <v>456</v>
      </c>
      <c r="F44" s="163" t="s">
        <v>457</v>
      </c>
      <c r="G44" s="163" t="s">
        <v>458</v>
      </c>
      <c r="H44" s="163" t="s">
        <v>459</v>
      </c>
      <c r="I44" s="161" t="s">
        <v>460</v>
      </c>
      <c r="M44" s="159">
        <v>43</v>
      </c>
      <c r="N44" s="159" t="s">
        <v>454</v>
      </c>
      <c r="O44" s="159" t="s">
        <v>454</v>
      </c>
      <c r="P44" s="159" t="s">
        <v>455</v>
      </c>
      <c r="Q44" s="159" t="s">
        <v>456</v>
      </c>
      <c r="R44" s="159" t="s">
        <v>457</v>
      </c>
      <c r="S44" s="159" t="s">
        <v>458</v>
      </c>
      <c r="T44" s="159" t="s">
        <v>459</v>
      </c>
      <c r="U44" s="159" t="s">
        <v>460</v>
      </c>
    </row>
    <row r="45" spans="1:21" x14ac:dyDescent="0.3">
      <c r="A45" s="160">
        <v>44</v>
      </c>
      <c r="B45" s="176" t="s">
        <v>461</v>
      </c>
      <c r="C45" s="161" t="s">
        <v>461</v>
      </c>
      <c r="D45" s="163" t="s">
        <v>462</v>
      </c>
      <c r="E45" s="163" t="s">
        <v>463</v>
      </c>
      <c r="F45" s="163" t="s">
        <v>464</v>
      </c>
      <c r="G45" s="163" t="s">
        <v>465</v>
      </c>
      <c r="H45" s="163" t="s">
        <v>466</v>
      </c>
      <c r="I45" s="161" t="s">
        <v>467</v>
      </c>
      <c r="M45" s="159">
        <v>44</v>
      </c>
      <c r="N45" s="159" t="s">
        <v>461</v>
      </c>
      <c r="O45" s="159" t="s">
        <v>461</v>
      </c>
      <c r="P45" s="159" t="s">
        <v>462</v>
      </c>
      <c r="Q45" s="159" t="s">
        <v>463</v>
      </c>
      <c r="R45" s="159" t="s">
        <v>464</v>
      </c>
      <c r="S45" s="159" t="s">
        <v>465</v>
      </c>
      <c r="T45" s="159" t="s">
        <v>466</v>
      </c>
      <c r="U45" s="159" t="s">
        <v>467</v>
      </c>
    </row>
    <row r="46" spans="1:21" x14ac:dyDescent="0.3">
      <c r="A46" s="160">
        <v>45</v>
      </c>
      <c r="B46" s="176" t="s">
        <v>468</v>
      </c>
      <c r="C46" s="161" t="s">
        <v>468</v>
      </c>
      <c r="D46" s="163" t="s">
        <v>469</v>
      </c>
      <c r="E46" s="163" t="s">
        <v>470</v>
      </c>
      <c r="F46" s="163" t="s">
        <v>471</v>
      </c>
      <c r="G46" s="163" t="s">
        <v>472</v>
      </c>
      <c r="H46" s="163" t="s">
        <v>473</v>
      </c>
      <c r="I46" s="161" t="s">
        <v>474</v>
      </c>
      <c r="M46" s="159">
        <v>45</v>
      </c>
      <c r="N46" s="159" t="s">
        <v>468</v>
      </c>
      <c r="O46" s="159" t="s">
        <v>468</v>
      </c>
      <c r="P46" s="159" t="s">
        <v>469</v>
      </c>
      <c r="Q46" s="159" t="s">
        <v>470</v>
      </c>
      <c r="R46" s="159" t="s">
        <v>471</v>
      </c>
      <c r="S46" s="159" t="s">
        <v>472</v>
      </c>
      <c r="T46" s="159" t="s">
        <v>473</v>
      </c>
      <c r="U46" s="159" t="s">
        <v>474</v>
      </c>
    </row>
    <row r="47" spans="1:21" x14ac:dyDescent="0.3">
      <c r="A47" s="160">
        <v>46</v>
      </c>
      <c r="B47" s="176" t="s">
        <v>111</v>
      </c>
      <c r="C47" s="161" t="s">
        <v>111</v>
      </c>
      <c r="D47" s="163" t="s">
        <v>475</v>
      </c>
      <c r="E47" s="163" t="s">
        <v>475</v>
      </c>
      <c r="F47" s="163" t="s">
        <v>475</v>
      </c>
      <c r="G47" s="163" t="s">
        <v>111</v>
      </c>
      <c r="H47" s="163" t="s">
        <v>476</v>
      </c>
      <c r="I47" s="161" t="s">
        <v>111</v>
      </c>
      <c r="M47" s="159">
        <v>46</v>
      </c>
      <c r="N47" s="159" t="s">
        <v>111</v>
      </c>
      <c r="O47" s="159" t="s">
        <v>111</v>
      </c>
      <c r="P47" s="159" t="s">
        <v>475</v>
      </c>
      <c r="Q47" s="159" t="s">
        <v>475</v>
      </c>
      <c r="R47" s="159" t="s">
        <v>475</v>
      </c>
      <c r="S47" s="159" t="s">
        <v>111</v>
      </c>
      <c r="T47" s="159" t="s">
        <v>476</v>
      </c>
      <c r="U47" s="159" t="s">
        <v>111</v>
      </c>
    </row>
    <row r="48" spans="1:21" x14ac:dyDescent="0.3">
      <c r="A48" s="160">
        <v>47</v>
      </c>
      <c r="B48" s="161" t="s">
        <v>477</v>
      </c>
      <c r="C48" s="161" t="s">
        <v>477</v>
      </c>
      <c r="D48" s="163" t="s">
        <v>478</v>
      </c>
      <c r="E48" s="163" t="s">
        <v>479</v>
      </c>
      <c r="F48" s="163" t="s">
        <v>480</v>
      </c>
      <c r="G48" s="163" t="s">
        <v>481</v>
      </c>
      <c r="H48" s="163" t="s">
        <v>482</v>
      </c>
      <c r="I48" s="161" t="s">
        <v>483</v>
      </c>
      <c r="M48" s="159">
        <v>47</v>
      </c>
      <c r="N48" s="159" t="s">
        <v>477</v>
      </c>
      <c r="O48" s="159" t="s">
        <v>477</v>
      </c>
      <c r="P48" s="159" t="s">
        <v>478</v>
      </c>
      <c r="Q48" s="159" t="s">
        <v>479</v>
      </c>
      <c r="R48" s="159" t="s">
        <v>480</v>
      </c>
      <c r="S48" s="159" t="s">
        <v>481</v>
      </c>
      <c r="T48" s="159" t="s">
        <v>482</v>
      </c>
      <c r="U48" s="159" t="s">
        <v>483</v>
      </c>
    </row>
    <row r="49" spans="1:21" x14ac:dyDescent="0.3">
      <c r="A49" s="160">
        <v>48</v>
      </c>
      <c r="B49" s="161" t="s">
        <v>484</v>
      </c>
      <c r="C49" s="161" t="s">
        <v>484</v>
      </c>
      <c r="D49" s="163" t="s">
        <v>485</v>
      </c>
      <c r="E49" s="163" t="s">
        <v>486</v>
      </c>
      <c r="F49" s="163" t="s">
        <v>487</v>
      </c>
      <c r="G49" s="163" t="s">
        <v>488</v>
      </c>
      <c r="H49" s="163" t="s">
        <v>489</v>
      </c>
      <c r="I49" s="161" t="s">
        <v>490</v>
      </c>
      <c r="M49" s="159">
        <v>48</v>
      </c>
      <c r="N49" s="159" t="s">
        <v>484</v>
      </c>
      <c r="O49" s="159" t="s">
        <v>484</v>
      </c>
      <c r="P49" s="159" t="s">
        <v>485</v>
      </c>
      <c r="Q49" s="159" t="s">
        <v>486</v>
      </c>
      <c r="R49" s="159" t="s">
        <v>487</v>
      </c>
      <c r="S49" s="159" t="s">
        <v>488</v>
      </c>
      <c r="T49" s="159" t="s">
        <v>489</v>
      </c>
      <c r="U49" s="159" t="s">
        <v>490</v>
      </c>
    </row>
    <row r="50" spans="1:21" x14ac:dyDescent="0.3">
      <c r="A50" s="160">
        <v>49</v>
      </c>
      <c r="B50" s="161" t="s">
        <v>491</v>
      </c>
      <c r="C50" s="161" t="s">
        <v>491</v>
      </c>
      <c r="D50" s="163" t="s">
        <v>492</v>
      </c>
      <c r="E50" s="163" t="s">
        <v>493</v>
      </c>
      <c r="F50" s="163" t="s">
        <v>494</v>
      </c>
      <c r="G50" s="163" t="s">
        <v>495</v>
      </c>
      <c r="H50" s="163" t="s">
        <v>496</v>
      </c>
      <c r="I50" s="161" t="s">
        <v>497</v>
      </c>
      <c r="M50" s="159">
        <v>49</v>
      </c>
      <c r="N50" s="159" t="s">
        <v>491</v>
      </c>
      <c r="O50" s="159" t="s">
        <v>491</v>
      </c>
      <c r="P50" s="159" t="s">
        <v>492</v>
      </c>
      <c r="Q50" s="159" t="s">
        <v>493</v>
      </c>
      <c r="R50" s="159" t="s">
        <v>494</v>
      </c>
      <c r="S50" s="159" t="s">
        <v>495</v>
      </c>
      <c r="T50" s="159" t="s">
        <v>496</v>
      </c>
      <c r="U50" s="159" t="s">
        <v>497</v>
      </c>
    </row>
    <row r="51" spans="1:21" x14ac:dyDescent="0.3">
      <c r="A51" s="160">
        <v>50</v>
      </c>
      <c r="B51" s="176" t="s">
        <v>213</v>
      </c>
      <c r="C51" s="161" t="s">
        <v>213</v>
      </c>
      <c r="D51" s="163" t="s">
        <v>498</v>
      </c>
      <c r="E51" s="163" t="s">
        <v>499</v>
      </c>
      <c r="F51" s="163" t="s">
        <v>500</v>
      </c>
      <c r="G51" s="163" t="s">
        <v>501</v>
      </c>
      <c r="H51" s="161" t="s">
        <v>502</v>
      </c>
      <c r="I51" s="161" t="s">
        <v>503</v>
      </c>
      <c r="M51" s="159">
        <v>50</v>
      </c>
      <c r="N51" s="159" t="s">
        <v>213</v>
      </c>
      <c r="O51" s="159" t="s">
        <v>213</v>
      </c>
      <c r="P51" s="159" t="s">
        <v>498</v>
      </c>
      <c r="Q51" s="159" t="s">
        <v>499</v>
      </c>
      <c r="R51" s="159" t="s">
        <v>500</v>
      </c>
      <c r="S51" s="159" t="s">
        <v>501</v>
      </c>
      <c r="T51" s="159" t="s">
        <v>502</v>
      </c>
      <c r="U51" s="159" t="s">
        <v>503</v>
      </c>
    </row>
    <row r="52" spans="1:21" x14ac:dyDescent="0.3">
      <c r="A52" s="160">
        <v>51</v>
      </c>
      <c r="B52" s="161" t="s">
        <v>504</v>
      </c>
      <c r="C52" s="161" t="s">
        <v>504</v>
      </c>
      <c r="D52" s="163" t="s">
        <v>504</v>
      </c>
      <c r="E52" s="163" t="s">
        <v>505</v>
      </c>
      <c r="F52" s="163" t="s">
        <v>506</v>
      </c>
      <c r="G52" s="163" t="s">
        <v>507</v>
      </c>
      <c r="H52" s="163" t="s">
        <v>508</v>
      </c>
      <c r="I52" s="161" t="s">
        <v>509</v>
      </c>
      <c r="M52" s="159">
        <v>51</v>
      </c>
      <c r="N52" s="159" t="s">
        <v>504</v>
      </c>
      <c r="O52" s="159" t="s">
        <v>504</v>
      </c>
      <c r="P52" s="159" t="s">
        <v>504</v>
      </c>
      <c r="Q52" s="159" t="s">
        <v>505</v>
      </c>
      <c r="R52" s="159" t="s">
        <v>506</v>
      </c>
      <c r="S52" s="159" t="s">
        <v>507</v>
      </c>
      <c r="T52" s="159" t="s">
        <v>508</v>
      </c>
      <c r="U52" s="159" t="s">
        <v>509</v>
      </c>
    </row>
    <row r="53" spans="1:21" x14ac:dyDescent="0.3">
      <c r="A53" s="160">
        <v>52</v>
      </c>
      <c r="B53" s="176" t="s">
        <v>510</v>
      </c>
      <c r="C53" s="161" t="s">
        <v>43</v>
      </c>
      <c r="D53" s="163" t="s">
        <v>510</v>
      </c>
      <c r="E53" s="163" t="s">
        <v>511</v>
      </c>
      <c r="F53" s="163" t="s">
        <v>512</v>
      </c>
      <c r="G53" s="163" t="s">
        <v>513</v>
      </c>
      <c r="H53" s="161" t="s">
        <v>514</v>
      </c>
      <c r="I53" s="161" t="s">
        <v>515</v>
      </c>
      <c r="M53" s="159">
        <v>52</v>
      </c>
      <c r="N53" s="159" t="s">
        <v>510</v>
      </c>
      <c r="O53" s="159" t="s">
        <v>43</v>
      </c>
      <c r="P53" s="159" t="s">
        <v>510</v>
      </c>
      <c r="Q53" s="159" t="s">
        <v>511</v>
      </c>
      <c r="R53" s="159" t="s">
        <v>512</v>
      </c>
      <c r="S53" s="159" t="s">
        <v>513</v>
      </c>
      <c r="T53" s="159" t="s">
        <v>514</v>
      </c>
      <c r="U53" s="159" t="s">
        <v>515</v>
      </c>
    </row>
    <row r="54" spans="1:21" x14ac:dyDescent="0.3">
      <c r="A54" s="160">
        <v>53</v>
      </c>
      <c r="B54" s="161" t="s">
        <v>129</v>
      </c>
      <c r="C54" s="161" t="s">
        <v>129</v>
      </c>
      <c r="D54" s="163" t="s">
        <v>516</v>
      </c>
      <c r="E54" s="163" t="s">
        <v>409</v>
      </c>
      <c r="F54" s="163" t="s">
        <v>517</v>
      </c>
      <c r="G54" s="163" t="s">
        <v>411</v>
      </c>
      <c r="H54" s="163" t="s">
        <v>518</v>
      </c>
      <c r="I54" s="161" t="s">
        <v>519</v>
      </c>
      <c r="M54" s="159">
        <v>53</v>
      </c>
      <c r="N54" s="159" t="s">
        <v>129</v>
      </c>
      <c r="O54" s="159" t="s">
        <v>129</v>
      </c>
      <c r="P54" s="159" t="s">
        <v>516</v>
      </c>
      <c r="Q54" s="159" t="s">
        <v>409</v>
      </c>
      <c r="R54" s="159" t="s">
        <v>517</v>
      </c>
      <c r="S54" s="159" t="s">
        <v>411</v>
      </c>
      <c r="T54" s="159" t="s">
        <v>518</v>
      </c>
      <c r="U54" s="159" t="s">
        <v>519</v>
      </c>
    </row>
    <row r="55" spans="1:21" x14ac:dyDescent="0.3">
      <c r="A55" s="160">
        <v>54</v>
      </c>
      <c r="B55" s="161" t="s">
        <v>520</v>
      </c>
      <c r="C55" s="161" t="s">
        <v>520</v>
      </c>
      <c r="D55" s="163" t="s">
        <v>521</v>
      </c>
      <c r="E55" s="163" t="s">
        <v>522</v>
      </c>
      <c r="F55" s="163" t="s">
        <v>523</v>
      </c>
      <c r="G55" s="163" t="s">
        <v>524</v>
      </c>
      <c r="H55" s="163" t="s">
        <v>525</v>
      </c>
      <c r="I55" s="161" t="s">
        <v>526</v>
      </c>
      <c r="M55" s="159">
        <v>54</v>
      </c>
      <c r="N55" s="159" t="s">
        <v>520</v>
      </c>
      <c r="O55" s="159" t="s">
        <v>520</v>
      </c>
      <c r="P55" s="159" t="s">
        <v>521</v>
      </c>
      <c r="Q55" s="159" t="s">
        <v>522</v>
      </c>
      <c r="R55" s="159" t="s">
        <v>523</v>
      </c>
      <c r="S55" s="159" t="s">
        <v>524</v>
      </c>
      <c r="T55" s="159" t="s">
        <v>525</v>
      </c>
      <c r="U55" s="159" t="s">
        <v>526</v>
      </c>
    </row>
    <row r="56" spans="1:21" x14ac:dyDescent="0.3">
      <c r="A56" s="160">
        <v>55</v>
      </c>
      <c r="B56" s="161" t="s">
        <v>527</v>
      </c>
      <c r="C56" s="161" t="s">
        <v>527</v>
      </c>
      <c r="D56" s="163" t="s">
        <v>528</v>
      </c>
      <c r="E56" s="163" t="s">
        <v>529</v>
      </c>
      <c r="F56" s="163" t="s">
        <v>530</v>
      </c>
      <c r="G56" s="163" t="s">
        <v>531</v>
      </c>
      <c r="H56" s="163" t="s">
        <v>532</v>
      </c>
      <c r="I56" s="161" t="s">
        <v>533</v>
      </c>
      <c r="M56" s="159">
        <v>55</v>
      </c>
      <c r="N56" s="159" t="s">
        <v>527</v>
      </c>
      <c r="O56" s="159" t="s">
        <v>527</v>
      </c>
      <c r="P56" s="159" t="s">
        <v>528</v>
      </c>
      <c r="Q56" s="159" t="s">
        <v>529</v>
      </c>
      <c r="R56" s="159" t="s">
        <v>530</v>
      </c>
      <c r="S56" s="159" t="s">
        <v>531</v>
      </c>
      <c r="T56" s="159" t="s">
        <v>532</v>
      </c>
      <c r="U56" s="159" t="s">
        <v>533</v>
      </c>
    </row>
    <row r="57" spans="1:21" x14ac:dyDescent="0.3">
      <c r="A57" s="160">
        <v>56</v>
      </c>
      <c r="B57" s="161" t="s">
        <v>534</v>
      </c>
      <c r="C57" s="161" t="s">
        <v>534</v>
      </c>
      <c r="D57" s="163" t="s">
        <v>535</v>
      </c>
      <c r="E57" s="163" t="s">
        <v>536</v>
      </c>
      <c r="F57" s="163" t="s">
        <v>537</v>
      </c>
      <c r="G57" s="163" t="s">
        <v>538</v>
      </c>
      <c r="H57" s="163" t="s">
        <v>539</v>
      </c>
      <c r="I57" s="161" t="s">
        <v>540</v>
      </c>
      <c r="M57" s="159">
        <v>56</v>
      </c>
      <c r="N57" s="159" t="s">
        <v>534</v>
      </c>
      <c r="O57" s="159" t="s">
        <v>534</v>
      </c>
      <c r="P57" s="159" t="s">
        <v>535</v>
      </c>
      <c r="Q57" s="159" t="s">
        <v>536</v>
      </c>
      <c r="R57" s="159" t="s">
        <v>537</v>
      </c>
      <c r="S57" s="159" t="s">
        <v>538</v>
      </c>
      <c r="T57" s="159" t="s">
        <v>539</v>
      </c>
      <c r="U57" s="159" t="s">
        <v>540</v>
      </c>
    </row>
    <row r="58" spans="1:21" x14ac:dyDescent="0.3">
      <c r="A58" s="160">
        <v>57</v>
      </c>
      <c r="B58" s="161" t="s">
        <v>541</v>
      </c>
      <c r="C58" s="161" t="s">
        <v>541</v>
      </c>
      <c r="D58" s="163" t="s">
        <v>542</v>
      </c>
      <c r="E58" s="163" t="s">
        <v>543</v>
      </c>
      <c r="F58" s="163" t="s">
        <v>544</v>
      </c>
      <c r="G58" s="163" t="s">
        <v>545</v>
      </c>
      <c r="H58" s="163" t="s">
        <v>546</v>
      </c>
      <c r="I58" s="161" t="s">
        <v>547</v>
      </c>
      <c r="M58" s="159">
        <v>57</v>
      </c>
      <c r="N58" s="159" t="s">
        <v>541</v>
      </c>
      <c r="O58" s="159" t="s">
        <v>541</v>
      </c>
      <c r="P58" s="159" t="s">
        <v>542</v>
      </c>
      <c r="Q58" s="159" t="s">
        <v>543</v>
      </c>
      <c r="R58" s="159" t="s">
        <v>544</v>
      </c>
      <c r="S58" s="159" t="s">
        <v>545</v>
      </c>
      <c r="T58" s="159" t="s">
        <v>546</v>
      </c>
      <c r="U58" s="159" t="s">
        <v>547</v>
      </c>
    </row>
    <row r="59" spans="1:21" x14ac:dyDescent="0.3">
      <c r="A59" s="160">
        <v>58</v>
      </c>
      <c r="B59" s="161" t="s">
        <v>548</v>
      </c>
      <c r="C59" s="161" t="s">
        <v>548</v>
      </c>
      <c r="D59" s="163" t="s">
        <v>549</v>
      </c>
      <c r="E59" s="163" t="s">
        <v>550</v>
      </c>
      <c r="F59" s="163" t="s">
        <v>551</v>
      </c>
      <c r="G59" s="163" t="s">
        <v>552</v>
      </c>
      <c r="H59" s="163" t="s">
        <v>553</v>
      </c>
      <c r="I59" s="161" t="s">
        <v>554</v>
      </c>
      <c r="M59" s="159">
        <v>58</v>
      </c>
      <c r="N59" s="159" t="s">
        <v>548</v>
      </c>
      <c r="O59" s="159" t="s">
        <v>548</v>
      </c>
      <c r="P59" s="159" t="s">
        <v>549</v>
      </c>
      <c r="Q59" s="159" t="s">
        <v>550</v>
      </c>
      <c r="R59" s="159" t="s">
        <v>551</v>
      </c>
      <c r="S59" s="159" t="s">
        <v>552</v>
      </c>
      <c r="T59" s="159" t="s">
        <v>553</v>
      </c>
      <c r="U59" s="159" t="s">
        <v>554</v>
      </c>
    </row>
    <row r="60" spans="1:21" x14ac:dyDescent="0.3">
      <c r="A60" s="160">
        <v>59</v>
      </c>
      <c r="B60" s="161" t="s">
        <v>555</v>
      </c>
      <c r="C60" s="161" t="s">
        <v>555</v>
      </c>
      <c r="D60" s="163" t="s">
        <v>555</v>
      </c>
      <c r="E60" s="163" t="s">
        <v>556</v>
      </c>
      <c r="F60" s="163" t="s">
        <v>557</v>
      </c>
      <c r="G60" s="163" t="s">
        <v>558</v>
      </c>
      <c r="H60" s="163" t="s">
        <v>559</v>
      </c>
      <c r="I60" s="161" t="s">
        <v>560</v>
      </c>
      <c r="M60" s="159">
        <v>59</v>
      </c>
      <c r="N60" s="159" t="s">
        <v>555</v>
      </c>
      <c r="O60" s="159" t="s">
        <v>555</v>
      </c>
      <c r="P60" s="159" t="s">
        <v>555</v>
      </c>
      <c r="Q60" s="159" t="s">
        <v>556</v>
      </c>
      <c r="R60" s="159" t="s">
        <v>557</v>
      </c>
      <c r="S60" s="159" t="s">
        <v>558</v>
      </c>
      <c r="T60" s="159" t="s">
        <v>559</v>
      </c>
      <c r="U60" s="159" t="s">
        <v>560</v>
      </c>
    </row>
    <row r="61" spans="1:21" x14ac:dyDescent="0.3">
      <c r="A61" s="160">
        <v>60</v>
      </c>
      <c r="B61" s="176" t="s">
        <v>629</v>
      </c>
      <c r="C61" s="161" t="s">
        <v>561</v>
      </c>
      <c r="D61" s="163" t="s">
        <v>562</v>
      </c>
      <c r="E61" s="163" t="s">
        <v>563</v>
      </c>
      <c r="F61" s="163" t="s">
        <v>564</v>
      </c>
      <c r="G61" s="163" t="s">
        <v>565</v>
      </c>
      <c r="H61" s="163" t="s">
        <v>566</v>
      </c>
      <c r="I61" s="161" t="s">
        <v>567</v>
      </c>
      <c r="M61" s="159">
        <v>60</v>
      </c>
      <c r="N61" s="159" t="s">
        <v>629</v>
      </c>
      <c r="O61" s="159" t="s">
        <v>561</v>
      </c>
      <c r="P61" s="159" t="s">
        <v>562</v>
      </c>
      <c r="Q61" s="159" t="s">
        <v>563</v>
      </c>
      <c r="R61" s="159" t="s">
        <v>564</v>
      </c>
      <c r="S61" s="159" t="s">
        <v>565</v>
      </c>
      <c r="T61" s="159" t="s">
        <v>566</v>
      </c>
      <c r="U61" s="159" t="s">
        <v>567</v>
      </c>
    </row>
    <row r="62" spans="1:21" x14ac:dyDescent="0.3">
      <c r="A62" s="160">
        <v>61</v>
      </c>
      <c r="B62" s="176" t="s">
        <v>224</v>
      </c>
      <c r="C62" s="161" t="s">
        <v>224</v>
      </c>
      <c r="D62" s="163" t="s">
        <v>568</v>
      </c>
      <c r="E62" s="163" t="s">
        <v>569</v>
      </c>
      <c r="F62" s="163" t="s">
        <v>570</v>
      </c>
      <c r="G62" s="163" t="s">
        <v>571</v>
      </c>
      <c r="H62" s="161" t="s">
        <v>572</v>
      </c>
      <c r="I62" s="161" t="s">
        <v>571</v>
      </c>
      <c r="M62" s="159">
        <v>61</v>
      </c>
      <c r="N62" s="159" t="s">
        <v>224</v>
      </c>
      <c r="O62" s="159" t="s">
        <v>224</v>
      </c>
      <c r="P62" s="159" t="s">
        <v>568</v>
      </c>
      <c r="Q62" s="159" t="s">
        <v>569</v>
      </c>
      <c r="R62" s="159" t="s">
        <v>570</v>
      </c>
      <c r="S62" s="159" t="s">
        <v>571</v>
      </c>
      <c r="T62" s="159" t="s">
        <v>572</v>
      </c>
      <c r="U62" s="159" t="s">
        <v>571</v>
      </c>
    </row>
    <row r="63" spans="1:21" x14ac:dyDescent="0.3">
      <c r="A63" s="160">
        <v>62</v>
      </c>
      <c r="B63" s="176" t="s">
        <v>225</v>
      </c>
      <c r="C63" s="161" t="s">
        <v>225</v>
      </c>
      <c r="D63" s="163" t="s">
        <v>573</v>
      </c>
      <c r="E63" s="163" t="s">
        <v>574</v>
      </c>
      <c r="F63" s="163" t="s">
        <v>575</v>
      </c>
      <c r="G63" s="163" t="s">
        <v>576</v>
      </c>
      <c r="H63" s="161" t="s">
        <v>577</v>
      </c>
      <c r="I63" s="161" t="s">
        <v>576</v>
      </c>
      <c r="M63" s="159">
        <v>62</v>
      </c>
      <c r="N63" s="159" t="s">
        <v>225</v>
      </c>
      <c r="O63" s="159" t="s">
        <v>225</v>
      </c>
      <c r="P63" s="159" t="s">
        <v>573</v>
      </c>
      <c r="Q63" s="159" t="s">
        <v>574</v>
      </c>
      <c r="R63" s="159" t="s">
        <v>575</v>
      </c>
      <c r="S63" s="159" t="s">
        <v>576</v>
      </c>
      <c r="T63" s="159" t="s">
        <v>577</v>
      </c>
      <c r="U63" s="159" t="s">
        <v>576</v>
      </c>
    </row>
    <row r="64" spans="1:21" x14ac:dyDescent="0.3">
      <c r="A64" s="160">
        <v>63</v>
      </c>
      <c r="B64" s="176" t="s">
        <v>226</v>
      </c>
      <c r="C64" s="161" t="s">
        <v>226</v>
      </c>
      <c r="D64" s="163" t="s">
        <v>578</v>
      </c>
      <c r="E64" s="163" t="s">
        <v>579</v>
      </c>
      <c r="F64" s="163" t="s">
        <v>580</v>
      </c>
      <c r="G64" s="163" t="s">
        <v>581</v>
      </c>
      <c r="H64" s="161" t="s">
        <v>582</v>
      </c>
      <c r="I64" s="161" t="s">
        <v>581</v>
      </c>
      <c r="M64" s="159">
        <v>63</v>
      </c>
      <c r="N64" s="159" t="s">
        <v>226</v>
      </c>
      <c r="O64" s="159" t="s">
        <v>226</v>
      </c>
      <c r="P64" s="159" t="s">
        <v>578</v>
      </c>
      <c r="Q64" s="159" t="s">
        <v>579</v>
      </c>
      <c r="R64" s="159" t="s">
        <v>580</v>
      </c>
      <c r="S64" s="159" t="s">
        <v>581</v>
      </c>
      <c r="T64" s="159" t="s">
        <v>582</v>
      </c>
      <c r="U64" s="159" t="s">
        <v>581</v>
      </c>
    </row>
    <row r="65" spans="1:21" x14ac:dyDescent="0.3">
      <c r="A65" s="160">
        <v>64</v>
      </c>
      <c r="B65" s="176" t="s">
        <v>227</v>
      </c>
      <c r="C65" s="161" t="s">
        <v>227</v>
      </c>
      <c r="D65" s="163" t="s">
        <v>583</v>
      </c>
      <c r="E65" s="163" t="s">
        <v>584</v>
      </c>
      <c r="F65" s="163" t="s">
        <v>585</v>
      </c>
      <c r="G65" s="163" t="s">
        <v>586</v>
      </c>
      <c r="H65" s="161" t="s">
        <v>587</v>
      </c>
      <c r="I65" s="161" t="s">
        <v>586</v>
      </c>
      <c r="M65" s="159">
        <v>64</v>
      </c>
      <c r="N65" s="159" t="s">
        <v>227</v>
      </c>
      <c r="O65" s="159" t="s">
        <v>227</v>
      </c>
      <c r="P65" s="159" t="s">
        <v>583</v>
      </c>
      <c r="Q65" s="159" t="s">
        <v>584</v>
      </c>
      <c r="R65" s="159" t="s">
        <v>585</v>
      </c>
      <c r="S65" s="159" t="s">
        <v>586</v>
      </c>
      <c r="T65" s="159" t="s">
        <v>587</v>
      </c>
      <c r="U65" s="159" t="s">
        <v>586</v>
      </c>
    </row>
    <row r="66" spans="1:21" x14ac:dyDescent="0.3">
      <c r="A66" s="160">
        <v>65</v>
      </c>
      <c r="B66" s="176" t="s">
        <v>228</v>
      </c>
      <c r="C66" s="161" t="s">
        <v>228</v>
      </c>
      <c r="D66" s="163" t="s">
        <v>588</v>
      </c>
      <c r="E66" s="163" t="s">
        <v>589</v>
      </c>
      <c r="F66" s="163" t="s">
        <v>590</v>
      </c>
      <c r="G66" s="163" t="s">
        <v>591</v>
      </c>
      <c r="H66" s="161" t="s">
        <v>592</v>
      </c>
      <c r="I66" s="161" t="s">
        <v>591</v>
      </c>
      <c r="M66" s="159">
        <v>65</v>
      </c>
      <c r="N66" s="159" t="s">
        <v>228</v>
      </c>
      <c r="O66" s="159" t="s">
        <v>228</v>
      </c>
      <c r="P66" s="159" t="s">
        <v>588</v>
      </c>
      <c r="Q66" s="159" t="s">
        <v>589</v>
      </c>
      <c r="R66" s="159" t="s">
        <v>590</v>
      </c>
      <c r="S66" s="159" t="s">
        <v>591</v>
      </c>
      <c r="T66" s="159" t="s">
        <v>592</v>
      </c>
      <c r="U66" s="159" t="s">
        <v>591</v>
      </c>
    </row>
    <row r="67" spans="1:21" x14ac:dyDescent="0.3">
      <c r="A67" s="160">
        <v>66</v>
      </c>
      <c r="B67" s="176" t="s">
        <v>229</v>
      </c>
      <c r="C67" s="161" t="s">
        <v>229</v>
      </c>
      <c r="D67" s="163" t="s">
        <v>593</v>
      </c>
      <c r="E67" s="163" t="s">
        <v>594</v>
      </c>
      <c r="F67" s="163" t="s">
        <v>595</v>
      </c>
      <c r="G67" s="163" t="s">
        <v>596</v>
      </c>
      <c r="H67" s="161" t="s">
        <v>597</v>
      </c>
      <c r="I67" s="161" t="s">
        <v>596</v>
      </c>
      <c r="M67" s="159">
        <v>66</v>
      </c>
      <c r="N67" s="159" t="s">
        <v>229</v>
      </c>
      <c r="O67" s="159" t="s">
        <v>229</v>
      </c>
      <c r="P67" s="159" t="s">
        <v>593</v>
      </c>
      <c r="Q67" s="159" t="s">
        <v>594</v>
      </c>
      <c r="R67" s="159" t="s">
        <v>595</v>
      </c>
      <c r="S67" s="159" t="s">
        <v>596</v>
      </c>
      <c r="T67" s="159" t="s">
        <v>597</v>
      </c>
      <c r="U67" s="159" t="s">
        <v>596</v>
      </c>
    </row>
    <row r="68" spans="1:21" x14ac:dyDescent="0.3">
      <c r="A68" s="160">
        <v>67</v>
      </c>
      <c r="B68" s="176" t="s">
        <v>230</v>
      </c>
      <c r="C68" s="161" t="s">
        <v>230</v>
      </c>
      <c r="D68" s="163" t="s">
        <v>598</v>
      </c>
      <c r="E68" s="163" t="s">
        <v>599</v>
      </c>
      <c r="F68" s="163" t="s">
        <v>600</v>
      </c>
      <c r="G68" s="163" t="s">
        <v>601</v>
      </c>
      <c r="H68" s="161" t="s">
        <v>602</v>
      </c>
      <c r="I68" s="161" t="s">
        <v>601</v>
      </c>
      <c r="M68" s="159">
        <v>67</v>
      </c>
      <c r="N68" s="159" t="s">
        <v>230</v>
      </c>
      <c r="O68" s="159" t="s">
        <v>230</v>
      </c>
      <c r="P68" s="159" t="s">
        <v>598</v>
      </c>
      <c r="Q68" s="159" t="s">
        <v>599</v>
      </c>
      <c r="R68" s="159" t="s">
        <v>600</v>
      </c>
      <c r="S68" s="159" t="s">
        <v>601</v>
      </c>
      <c r="T68" s="159" t="s">
        <v>602</v>
      </c>
      <c r="U68" s="159" t="s">
        <v>601</v>
      </c>
    </row>
    <row r="69" spans="1:21" x14ac:dyDescent="0.3">
      <c r="A69" s="160">
        <v>68</v>
      </c>
      <c r="B69" s="176" t="s">
        <v>231</v>
      </c>
      <c r="C69" s="161" t="s">
        <v>231</v>
      </c>
      <c r="D69" s="163" t="s">
        <v>603</v>
      </c>
      <c r="E69" s="163" t="s">
        <v>604</v>
      </c>
      <c r="F69" s="163" t="s">
        <v>605</v>
      </c>
      <c r="G69" s="163" t="s">
        <v>606</v>
      </c>
      <c r="H69" s="161" t="s">
        <v>607</v>
      </c>
      <c r="I69" s="161" t="s">
        <v>606</v>
      </c>
      <c r="M69" s="159">
        <v>68</v>
      </c>
      <c r="N69" s="159" t="s">
        <v>231</v>
      </c>
      <c r="O69" s="159" t="s">
        <v>231</v>
      </c>
      <c r="P69" s="159" t="s">
        <v>603</v>
      </c>
      <c r="Q69" s="159" t="s">
        <v>604</v>
      </c>
      <c r="R69" s="159" t="s">
        <v>605</v>
      </c>
      <c r="S69" s="159" t="s">
        <v>606</v>
      </c>
      <c r="T69" s="159" t="s">
        <v>607</v>
      </c>
      <c r="U69" s="159" t="s">
        <v>606</v>
      </c>
    </row>
    <row r="70" spans="1:21" x14ac:dyDescent="0.3">
      <c r="A70" s="160">
        <v>69</v>
      </c>
      <c r="B70" s="161" t="s">
        <v>789</v>
      </c>
      <c r="C70" s="185" t="s">
        <v>789</v>
      </c>
      <c r="D70" s="163" t="s">
        <v>790</v>
      </c>
      <c r="E70" s="163" t="s">
        <v>791</v>
      </c>
      <c r="F70" s="163" t="s">
        <v>792</v>
      </c>
      <c r="G70" s="163" t="s">
        <v>793</v>
      </c>
      <c r="H70" s="163" t="s">
        <v>794</v>
      </c>
      <c r="I70" s="161" t="s">
        <v>795</v>
      </c>
      <c r="M70" s="159">
        <v>69</v>
      </c>
      <c r="N70" s="159" t="s">
        <v>608</v>
      </c>
      <c r="O70" s="159" t="s">
        <v>608</v>
      </c>
      <c r="P70" s="159" t="s">
        <v>609</v>
      </c>
      <c r="Q70" s="159" t="s">
        <v>610</v>
      </c>
      <c r="R70" s="159" t="s">
        <v>611</v>
      </c>
      <c r="S70" s="159" t="s">
        <v>612</v>
      </c>
      <c r="T70" s="159" t="s">
        <v>613</v>
      </c>
      <c r="U70" s="159" t="s">
        <v>614</v>
      </c>
    </row>
    <row r="71" spans="1:21" x14ac:dyDescent="0.3">
      <c r="A71" s="160">
        <v>70</v>
      </c>
      <c r="B71" s="176" t="s">
        <v>504</v>
      </c>
      <c r="C71" s="185" t="s">
        <v>796</v>
      </c>
      <c r="D71" s="163" t="s">
        <v>797</v>
      </c>
      <c r="E71" s="163" t="s">
        <v>798</v>
      </c>
      <c r="F71" s="163" t="s">
        <v>799</v>
      </c>
      <c r="G71" s="163" t="s">
        <v>800</v>
      </c>
      <c r="H71" s="163" t="s">
        <v>801</v>
      </c>
      <c r="I71" s="161" t="s">
        <v>802</v>
      </c>
      <c r="M71" s="159">
        <v>70</v>
      </c>
      <c r="N71" s="159" t="s">
        <v>504</v>
      </c>
      <c r="O71" s="159" t="s">
        <v>628</v>
      </c>
      <c r="P71" s="159" t="s">
        <v>616</v>
      </c>
      <c r="Q71" s="159" t="s">
        <v>617</v>
      </c>
      <c r="R71" s="159" t="s">
        <v>618</v>
      </c>
      <c r="S71" s="159" t="s">
        <v>619</v>
      </c>
      <c r="T71" s="159" t="s">
        <v>620</v>
      </c>
      <c r="U71" s="159" t="s">
        <v>621</v>
      </c>
    </row>
    <row r="72" spans="1:21" x14ac:dyDescent="0.3">
      <c r="A72" s="164">
        <v>71</v>
      </c>
      <c r="B72" s="161" t="s">
        <v>803</v>
      </c>
      <c r="C72" s="185" t="s">
        <v>803</v>
      </c>
      <c r="D72" s="163" t="s">
        <v>797</v>
      </c>
      <c r="E72" s="163" t="s">
        <v>798</v>
      </c>
      <c r="F72" s="163" t="s">
        <v>799</v>
      </c>
      <c r="G72" s="163" t="s">
        <v>800</v>
      </c>
      <c r="H72" s="163" t="s">
        <v>801</v>
      </c>
      <c r="I72" s="161" t="s">
        <v>802</v>
      </c>
      <c r="M72" s="159">
        <v>71</v>
      </c>
      <c r="N72" s="159" t="s">
        <v>615</v>
      </c>
      <c r="O72" s="159" t="s">
        <v>615</v>
      </c>
      <c r="P72" s="159" t="s">
        <v>616</v>
      </c>
      <c r="Q72" s="159" t="s">
        <v>617</v>
      </c>
      <c r="R72" s="159" t="s">
        <v>618</v>
      </c>
      <c r="S72" s="159" t="s">
        <v>619</v>
      </c>
      <c r="T72" s="159" t="s">
        <v>620</v>
      </c>
      <c r="U72" s="159" t="s">
        <v>621</v>
      </c>
    </row>
    <row r="73" spans="1:21" x14ac:dyDescent="0.3">
      <c r="A73" s="164">
        <v>72</v>
      </c>
      <c r="B73" s="165" t="s">
        <v>527</v>
      </c>
      <c r="C73" s="165" t="s">
        <v>527</v>
      </c>
      <c r="D73" s="166" t="s">
        <v>622</v>
      </c>
      <c r="E73" s="166" t="s">
        <v>623</v>
      </c>
      <c r="F73" s="166" t="s">
        <v>624</v>
      </c>
      <c r="G73" s="166" t="s">
        <v>625</v>
      </c>
      <c r="H73" s="166" t="s">
        <v>626</v>
      </c>
      <c r="I73" s="166" t="s">
        <v>627</v>
      </c>
      <c r="M73" s="159">
        <v>72</v>
      </c>
      <c r="N73" s="159" t="s">
        <v>527</v>
      </c>
      <c r="O73" s="159" t="s">
        <v>527</v>
      </c>
      <c r="P73" s="159" t="s">
        <v>622</v>
      </c>
      <c r="Q73" s="159" t="s">
        <v>623</v>
      </c>
      <c r="R73" s="159" t="s">
        <v>624</v>
      </c>
      <c r="S73" s="159" t="s">
        <v>625</v>
      </c>
      <c r="T73" s="159" t="s">
        <v>626</v>
      </c>
      <c r="U73" s="159" t="s">
        <v>627</v>
      </c>
    </row>
    <row r="74" spans="1:21" x14ac:dyDescent="0.3">
      <c r="A74" s="164">
        <v>73</v>
      </c>
      <c r="B74" s="165" t="s">
        <v>631</v>
      </c>
      <c r="C74" s="187" t="s">
        <v>810</v>
      </c>
      <c r="D74" s="178" t="s">
        <v>804</v>
      </c>
      <c r="E74" s="163" t="s">
        <v>805</v>
      </c>
      <c r="F74" s="178" t="s">
        <v>806</v>
      </c>
      <c r="G74" s="163" t="s">
        <v>807</v>
      </c>
      <c r="H74" s="163" t="s">
        <v>808</v>
      </c>
      <c r="I74" s="165" t="s">
        <v>809</v>
      </c>
      <c r="M74" s="159">
        <v>73</v>
      </c>
      <c r="N74" s="159" t="s">
        <v>631</v>
      </c>
      <c r="O74" s="159" t="s">
        <v>630</v>
      </c>
      <c r="P74" s="159" t="s">
        <v>632</v>
      </c>
      <c r="Q74" s="159" t="s">
        <v>633</v>
      </c>
      <c r="R74" s="159" t="s">
        <v>634</v>
      </c>
      <c r="S74" s="159" t="s">
        <v>635</v>
      </c>
      <c r="T74" s="159" t="s">
        <v>636</v>
      </c>
      <c r="U74" s="159" t="s">
        <v>637</v>
      </c>
    </row>
    <row r="75" spans="1:21" x14ac:dyDescent="0.3">
      <c r="A75" s="167">
        <v>74</v>
      </c>
      <c r="B75" s="159" t="s">
        <v>680</v>
      </c>
      <c r="C75" s="159" t="s">
        <v>680</v>
      </c>
      <c r="D75" s="159" t="s">
        <v>680</v>
      </c>
      <c r="E75" s="159" t="s">
        <v>681</v>
      </c>
      <c r="F75" s="159" t="s">
        <v>682</v>
      </c>
      <c r="G75" s="159" t="s">
        <v>683</v>
      </c>
      <c r="H75" s="159" t="s">
        <v>684</v>
      </c>
      <c r="I75" s="159" t="s">
        <v>685</v>
      </c>
    </row>
    <row r="81" spans="2:3" x14ac:dyDescent="0.3">
      <c r="B81" s="168" t="str">
        <f>C1</f>
        <v>English</v>
      </c>
      <c r="C81" s="159">
        <v>2</v>
      </c>
    </row>
    <row r="82" spans="2:3" x14ac:dyDescent="0.3">
      <c r="B82" s="168" t="str">
        <f>D1</f>
        <v>French</v>
      </c>
      <c r="C82" s="159">
        <v>3</v>
      </c>
    </row>
    <row r="83" spans="2:3" x14ac:dyDescent="0.3">
      <c r="B83" s="168" t="str">
        <f>E1</f>
        <v>German</v>
      </c>
      <c r="C83" s="159">
        <v>4</v>
      </c>
    </row>
    <row r="84" spans="2:3" x14ac:dyDescent="0.3">
      <c r="B84" s="168" t="str">
        <f>F1</f>
        <v>Italian</v>
      </c>
      <c r="C84" s="159">
        <v>5</v>
      </c>
    </row>
    <row r="85" spans="2:3" x14ac:dyDescent="0.3">
      <c r="B85" s="168" t="str">
        <f>G1</f>
        <v>Portuguese</v>
      </c>
      <c r="C85" s="159">
        <v>6</v>
      </c>
    </row>
    <row r="86" spans="2:3" x14ac:dyDescent="0.3">
      <c r="B86" s="168" t="str">
        <f>H1</f>
        <v>Russian</v>
      </c>
      <c r="C86" s="159">
        <v>7</v>
      </c>
    </row>
    <row r="87" spans="2:3" x14ac:dyDescent="0.3">
      <c r="B87" s="168" t="str">
        <f>I1</f>
        <v>Spanish</v>
      </c>
      <c r="C87" s="159">
        <v>8</v>
      </c>
    </row>
  </sheetData>
  <phoneticPr fontId="4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/>
  <dimension ref="A1:GN74"/>
  <sheetViews>
    <sheetView topLeftCell="A40" workbookViewId="0">
      <selection activeCell="A70" sqref="A70"/>
    </sheetView>
  </sheetViews>
  <sheetFormatPr defaultColWidth="20.7109375" defaultRowHeight="15" x14ac:dyDescent="0.25"/>
  <cols>
    <col min="1" max="1" width="20.5703125" bestFit="1" customWidth="1"/>
    <col min="2" max="3" width="4" bestFit="1" customWidth="1"/>
    <col min="4" max="4" width="20.5703125" bestFit="1" customWidth="1"/>
    <col min="5" max="5" width="3" bestFit="1" customWidth="1"/>
    <col min="6" max="6" width="2.85546875" bestFit="1" customWidth="1"/>
    <col min="7" max="7" width="3" bestFit="1" customWidth="1"/>
    <col min="8" max="8" width="2.85546875" bestFit="1" customWidth="1"/>
    <col min="9" max="9" width="3" bestFit="1" customWidth="1"/>
    <col min="10" max="10" width="2.85546875" bestFit="1" customWidth="1"/>
    <col min="11" max="11" width="3" bestFit="1" customWidth="1"/>
    <col min="12" max="12" width="2.85546875" bestFit="1" customWidth="1"/>
    <col min="13" max="13" width="3" bestFit="1" customWidth="1"/>
    <col min="14" max="14" width="2.85546875" bestFit="1" customWidth="1"/>
    <col min="15" max="15" width="3" bestFit="1" customWidth="1"/>
    <col min="16" max="16" width="2.85546875" bestFit="1" customWidth="1"/>
    <col min="17" max="17" width="3" bestFit="1" customWidth="1"/>
    <col min="18" max="18" width="2.85546875" bestFit="1" customWidth="1"/>
    <col min="19" max="19" width="3" bestFit="1" customWidth="1"/>
    <col min="20" max="20" width="2.85546875" bestFit="1" customWidth="1"/>
    <col min="21" max="21" width="3" bestFit="1" customWidth="1"/>
    <col min="22" max="22" width="2.85546875" bestFit="1" customWidth="1"/>
    <col min="23" max="23" width="4" bestFit="1" customWidth="1"/>
    <col min="24" max="24" width="3.85546875" bestFit="1" customWidth="1"/>
    <col min="25" max="25" width="4" bestFit="1" customWidth="1"/>
    <col min="26" max="26" width="3.85546875" bestFit="1" customWidth="1"/>
    <col min="27" max="27" width="4" bestFit="1" customWidth="1"/>
    <col min="28" max="28" width="3.85546875" bestFit="1" customWidth="1"/>
    <col min="29" max="29" width="4" bestFit="1" customWidth="1"/>
    <col min="30" max="30" width="3.85546875" bestFit="1" customWidth="1"/>
    <col min="31" max="31" width="4" bestFit="1" customWidth="1"/>
    <col min="32" max="32" width="3.85546875" bestFit="1" customWidth="1"/>
    <col min="33" max="33" width="4" bestFit="1" customWidth="1"/>
    <col min="34" max="34" width="3.85546875" bestFit="1" customWidth="1"/>
    <col min="35" max="35" width="4" bestFit="1" customWidth="1"/>
    <col min="36" max="36" width="3.85546875" bestFit="1" customWidth="1"/>
    <col min="37" max="37" width="4" bestFit="1" customWidth="1"/>
    <col min="38" max="38" width="3.85546875" bestFit="1" customWidth="1"/>
    <col min="39" max="39" width="4" bestFit="1" customWidth="1"/>
    <col min="40" max="40" width="3.85546875" bestFit="1" customWidth="1"/>
    <col min="41" max="41" width="4" bestFit="1" customWidth="1"/>
    <col min="42" max="42" width="3.85546875" bestFit="1" customWidth="1"/>
    <col min="43" max="43" width="4" bestFit="1" customWidth="1"/>
    <col min="44" max="44" width="3.85546875" bestFit="1" customWidth="1"/>
    <col min="45" max="45" width="4" bestFit="1" customWidth="1"/>
    <col min="46" max="46" width="3.85546875" bestFit="1" customWidth="1"/>
    <col min="47" max="47" width="4" bestFit="1" customWidth="1"/>
    <col min="48" max="48" width="3.85546875" bestFit="1" customWidth="1"/>
    <col min="49" max="49" width="4" bestFit="1" customWidth="1"/>
    <col min="50" max="50" width="3.85546875" bestFit="1" customWidth="1"/>
    <col min="51" max="51" width="4" bestFit="1" customWidth="1"/>
    <col min="52" max="52" width="3.85546875" bestFit="1" customWidth="1"/>
    <col min="53" max="53" width="4" bestFit="1" customWidth="1"/>
    <col min="54" max="54" width="3.85546875" bestFit="1" customWidth="1"/>
    <col min="55" max="55" width="4" bestFit="1" customWidth="1"/>
    <col min="56" max="56" width="3.85546875" bestFit="1" customWidth="1"/>
    <col min="57" max="57" width="4" bestFit="1" customWidth="1"/>
    <col min="58" max="58" width="3.85546875" bestFit="1" customWidth="1"/>
    <col min="59" max="59" width="4" bestFit="1" customWidth="1"/>
    <col min="60" max="60" width="3.85546875" bestFit="1" customWidth="1"/>
    <col min="61" max="61" width="4" bestFit="1" customWidth="1"/>
    <col min="62" max="62" width="3.85546875" bestFit="1" customWidth="1"/>
    <col min="63" max="63" width="4" bestFit="1" customWidth="1"/>
    <col min="64" max="64" width="3.85546875" bestFit="1" customWidth="1"/>
    <col min="65" max="65" width="4" bestFit="1" customWidth="1"/>
    <col min="66" max="66" width="3.85546875" bestFit="1" customWidth="1"/>
    <col min="67" max="67" width="4" bestFit="1" customWidth="1"/>
    <col min="68" max="68" width="3.85546875" bestFit="1" customWidth="1"/>
    <col min="69" max="69" width="4" bestFit="1" customWidth="1"/>
    <col min="70" max="70" width="3.85546875" bestFit="1" customWidth="1"/>
    <col min="71" max="71" width="4" bestFit="1" customWidth="1"/>
    <col min="72" max="72" width="3.85546875" bestFit="1" customWidth="1"/>
    <col min="73" max="73" width="4" bestFit="1" customWidth="1"/>
    <col min="74" max="74" width="3.85546875" bestFit="1" customWidth="1"/>
    <col min="75" max="75" width="4" bestFit="1" customWidth="1"/>
    <col min="76" max="76" width="3.85546875" bestFit="1" customWidth="1"/>
    <col min="77" max="77" width="4" bestFit="1" customWidth="1"/>
    <col min="78" max="78" width="3.85546875" bestFit="1" customWidth="1"/>
    <col min="79" max="79" width="4" bestFit="1" customWidth="1"/>
    <col min="80" max="80" width="3.85546875" bestFit="1" customWidth="1"/>
    <col min="81" max="81" width="4" bestFit="1" customWidth="1"/>
    <col min="82" max="82" width="3.85546875" bestFit="1" customWidth="1"/>
    <col min="83" max="83" width="4" bestFit="1" customWidth="1"/>
    <col min="84" max="84" width="3.85546875" bestFit="1" customWidth="1"/>
    <col min="85" max="85" width="4" bestFit="1" customWidth="1"/>
    <col min="86" max="86" width="3.85546875" bestFit="1" customWidth="1"/>
    <col min="87" max="87" width="4" bestFit="1" customWidth="1"/>
    <col min="88" max="88" width="3.85546875" bestFit="1" customWidth="1"/>
    <col min="89" max="89" width="4" bestFit="1" customWidth="1"/>
    <col min="90" max="90" width="3.85546875" bestFit="1" customWidth="1"/>
    <col min="91" max="91" width="4" bestFit="1" customWidth="1"/>
    <col min="92" max="92" width="3.85546875" bestFit="1" customWidth="1"/>
    <col min="93" max="93" width="4" bestFit="1" customWidth="1"/>
    <col min="94" max="94" width="3.85546875" bestFit="1" customWidth="1"/>
    <col min="95" max="95" width="4" bestFit="1" customWidth="1"/>
    <col min="96" max="96" width="3.85546875" bestFit="1" customWidth="1"/>
    <col min="97" max="97" width="4" bestFit="1" customWidth="1"/>
    <col min="98" max="98" width="3.85546875" bestFit="1" customWidth="1"/>
    <col min="99" max="99" width="4" bestFit="1" customWidth="1"/>
    <col min="100" max="100" width="3.85546875" bestFit="1" customWidth="1"/>
    <col min="101" max="102" width="4" bestFit="1" customWidth="1"/>
    <col min="103" max="103" width="3.85546875" bestFit="1" customWidth="1"/>
    <col min="104" max="105" width="4" bestFit="1" customWidth="1"/>
    <col min="106" max="106" width="3.7109375" bestFit="1" customWidth="1"/>
    <col min="107" max="108" width="4" bestFit="1" customWidth="1"/>
    <col min="109" max="109" width="3.85546875" bestFit="1" customWidth="1"/>
    <col min="110" max="111" width="4" bestFit="1" customWidth="1"/>
    <col min="112" max="112" width="3.7109375" bestFit="1" customWidth="1"/>
    <col min="113" max="114" width="4" bestFit="1" customWidth="1"/>
    <col min="115" max="115" width="3.85546875" bestFit="1" customWidth="1"/>
    <col min="116" max="117" width="4" bestFit="1" customWidth="1"/>
    <col min="118" max="118" width="3.7109375" bestFit="1" customWidth="1"/>
    <col min="119" max="120" width="4" bestFit="1" customWidth="1"/>
    <col min="121" max="121" width="3.85546875" bestFit="1" customWidth="1"/>
    <col min="122" max="123" width="4" bestFit="1" customWidth="1"/>
    <col min="124" max="124" width="3.7109375" bestFit="1" customWidth="1"/>
    <col min="125" max="126" width="4" bestFit="1" customWidth="1"/>
    <col min="127" max="127" width="3.85546875" bestFit="1" customWidth="1"/>
    <col min="128" max="129" width="4" bestFit="1" customWidth="1"/>
    <col min="130" max="130" width="3.7109375" bestFit="1" customWidth="1"/>
    <col min="131" max="132" width="4" bestFit="1" customWidth="1"/>
    <col min="133" max="133" width="3.85546875" bestFit="1" customWidth="1"/>
    <col min="134" max="135" width="4" bestFit="1" customWidth="1"/>
    <col min="136" max="136" width="3.7109375" bestFit="1" customWidth="1"/>
    <col min="137" max="138" width="4" bestFit="1" customWidth="1"/>
    <col min="139" max="139" width="3.85546875" bestFit="1" customWidth="1"/>
    <col min="140" max="141" width="4" bestFit="1" customWidth="1"/>
    <col min="142" max="142" width="3.7109375" bestFit="1" customWidth="1"/>
    <col min="143" max="144" width="4" bestFit="1" customWidth="1"/>
    <col min="145" max="145" width="3.85546875" bestFit="1" customWidth="1"/>
    <col min="146" max="147" width="4" bestFit="1" customWidth="1"/>
    <col min="148" max="148" width="3.7109375" bestFit="1" customWidth="1"/>
    <col min="149" max="150" width="4" bestFit="1" customWidth="1"/>
    <col min="151" max="151" width="3.85546875" bestFit="1" customWidth="1"/>
    <col min="152" max="153" width="4" bestFit="1" customWidth="1"/>
    <col min="154" max="154" width="3.7109375" bestFit="1" customWidth="1"/>
    <col min="155" max="156" width="4" bestFit="1" customWidth="1"/>
    <col min="157" max="157" width="3.85546875" bestFit="1" customWidth="1"/>
    <col min="158" max="159" width="4" bestFit="1" customWidth="1"/>
    <col min="160" max="160" width="3.7109375" bestFit="1" customWidth="1"/>
    <col min="161" max="162" width="4" bestFit="1" customWidth="1"/>
    <col min="163" max="163" width="3.85546875" bestFit="1" customWidth="1"/>
    <col min="164" max="165" width="4" bestFit="1" customWidth="1"/>
    <col min="166" max="166" width="3.7109375" bestFit="1" customWidth="1"/>
    <col min="167" max="168" width="4" bestFit="1" customWidth="1"/>
    <col min="169" max="169" width="3.85546875" bestFit="1" customWidth="1"/>
    <col min="170" max="171" width="4" bestFit="1" customWidth="1"/>
    <col min="172" max="172" width="3.7109375" bestFit="1" customWidth="1"/>
    <col min="173" max="174" width="4" bestFit="1" customWidth="1"/>
    <col min="175" max="175" width="3.85546875" bestFit="1" customWidth="1"/>
    <col min="176" max="177" width="4" bestFit="1" customWidth="1"/>
    <col min="178" max="178" width="3.7109375" bestFit="1" customWidth="1"/>
    <col min="179" max="180" width="4" bestFit="1" customWidth="1"/>
    <col min="181" max="181" width="3.85546875" bestFit="1" customWidth="1"/>
    <col min="182" max="183" width="4" bestFit="1" customWidth="1"/>
    <col min="184" max="184" width="3.7109375" bestFit="1" customWidth="1"/>
    <col min="185" max="186" width="4" bestFit="1" customWidth="1"/>
    <col min="187" max="187" width="3.85546875" bestFit="1" customWidth="1"/>
    <col min="188" max="189" width="4" bestFit="1" customWidth="1"/>
    <col min="190" max="190" width="3.7109375" bestFit="1" customWidth="1"/>
    <col min="191" max="192" width="4" bestFit="1" customWidth="1"/>
    <col min="193" max="193" width="3.85546875" bestFit="1" customWidth="1"/>
    <col min="194" max="195" width="4" bestFit="1" customWidth="1"/>
    <col min="196" max="196" width="3.7109375" bestFit="1" customWidth="1"/>
  </cols>
  <sheetData>
    <row r="1" spans="1:196" x14ac:dyDescent="0.25">
      <c r="A1" t="e">
        <f ca="1">A74</f>
        <v>#REF!</v>
      </c>
      <c r="B1" t="e">
        <f t="shared" ref="B1:BM1" ca="1" si="0">B74</f>
        <v>#REF!</v>
      </c>
      <c r="C1" t="e">
        <f t="shared" ca="1" si="0"/>
        <v>#REF!</v>
      </c>
      <c r="D1" t="e">
        <f t="shared" ca="1" si="0"/>
        <v>#REF!</v>
      </c>
      <c r="E1">
        <f t="shared" ca="1" si="0"/>
        <v>0</v>
      </c>
      <c r="F1">
        <f t="shared" ca="1" si="0"/>
        <v>0</v>
      </c>
      <c r="G1">
        <f t="shared" ca="1" si="0"/>
        <v>0</v>
      </c>
      <c r="H1">
        <f t="shared" ca="1" si="0"/>
        <v>0</v>
      </c>
      <c r="I1">
        <f t="shared" ca="1" si="0"/>
        <v>0</v>
      </c>
      <c r="J1">
        <f t="shared" ca="1" si="0"/>
        <v>0</v>
      </c>
      <c r="K1">
        <f t="shared" ca="1" si="0"/>
        <v>0</v>
      </c>
      <c r="L1">
        <f t="shared" ca="1" si="0"/>
        <v>0</v>
      </c>
      <c r="M1">
        <f t="shared" ca="1" si="0"/>
        <v>0</v>
      </c>
      <c r="N1">
        <f t="shared" ca="1" si="0"/>
        <v>0</v>
      </c>
      <c r="O1">
        <f t="shared" ca="1" si="0"/>
        <v>0</v>
      </c>
      <c r="P1">
        <f t="shared" ca="1" si="0"/>
        <v>0</v>
      </c>
      <c r="Q1">
        <f t="shared" ca="1" si="0"/>
        <v>0</v>
      </c>
      <c r="R1">
        <f t="shared" ca="1" si="0"/>
        <v>0</v>
      </c>
      <c r="S1">
        <f t="shared" ca="1" si="0"/>
        <v>0</v>
      </c>
      <c r="T1">
        <f t="shared" ca="1" si="0"/>
        <v>0</v>
      </c>
      <c r="U1">
        <f t="shared" ca="1" si="0"/>
        <v>0</v>
      </c>
      <c r="V1">
        <f t="shared" ca="1" si="0"/>
        <v>0</v>
      </c>
      <c r="W1">
        <f t="shared" ca="1" si="0"/>
        <v>0</v>
      </c>
      <c r="X1">
        <f t="shared" ca="1" si="0"/>
        <v>0</v>
      </c>
      <c r="Y1">
        <f t="shared" ca="1" si="0"/>
        <v>0</v>
      </c>
      <c r="Z1">
        <f t="shared" ca="1" si="0"/>
        <v>0</v>
      </c>
      <c r="AA1">
        <f t="shared" ca="1" si="0"/>
        <v>0</v>
      </c>
      <c r="AB1">
        <f t="shared" ca="1" si="0"/>
        <v>0</v>
      </c>
      <c r="AC1">
        <f t="shared" ca="1" si="0"/>
        <v>0</v>
      </c>
      <c r="AD1">
        <f t="shared" ca="1" si="0"/>
        <v>0</v>
      </c>
      <c r="AE1">
        <f t="shared" ca="1" si="0"/>
        <v>0</v>
      </c>
      <c r="AF1">
        <f t="shared" ca="1" si="0"/>
        <v>0</v>
      </c>
      <c r="AG1">
        <f t="shared" ca="1" si="0"/>
        <v>0</v>
      </c>
      <c r="AH1">
        <f t="shared" ca="1" si="0"/>
        <v>0</v>
      </c>
      <c r="AI1">
        <f t="shared" ca="1" si="0"/>
        <v>0</v>
      </c>
      <c r="AJ1">
        <f t="shared" ca="1" si="0"/>
        <v>0</v>
      </c>
      <c r="AK1">
        <f t="shared" ca="1" si="0"/>
        <v>0</v>
      </c>
      <c r="AL1">
        <f t="shared" ca="1" si="0"/>
        <v>0</v>
      </c>
      <c r="AM1">
        <f t="shared" ca="1" si="0"/>
        <v>0</v>
      </c>
      <c r="AN1">
        <f t="shared" ca="1" si="0"/>
        <v>0</v>
      </c>
      <c r="AO1">
        <f t="shared" ca="1" si="0"/>
        <v>0</v>
      </c>
      <c r="AP1">
        <f t="shared" ca="1" si="0"/>
        <v>0</v>
      </c>
      <c r="AQ1">
        <f t="shared" ca="1" si="0"/>
        <v>0</v>
      </c>
      <c r="AR1">
        <f t="shared" ca="1" si="0"/>
        <v>0</v>
      </c>
      <c r="AS1">
        <f t="shared" ca="1" si="0"/>
        <v>0</v>
      </c>
      <c r="AT1">
        <f t="shared" ca="1" si="0"/>
        <v>0</v>
      </c>
      <c r="AU1">
        <f t="shared" ca="1" si="0"/>
        <v>0</v>
      </c>
      <c r="AV1">
        <f t="shared" ca="1" si="0"/>
        <v>0</v>
      </c>
      <c r="AW1">
        <f t="shared" ca="1" si="0"/>
        <v>0</v>
      </c>
      <c r="AX1">
        <f t="shared" ca="1" si="0"/>
        <v>0</v>
      </c>
      <c r="AY1">
        <f t="shared" ca="1" si="0"/>
        <v>0</v>
      </c>
      <c r="AZ1">
        <f t="shared" ca="1" si="0"/>
        <v>0</v>
      </c>
      <c r="BA1">
        <f t="shared" ca="1" si="0"/>
        <v>0</v>
      </c>
      <c r="BB1">
        <f t="shared" ca="1" si="0"/>
        <v>0</v>
      </c>
      <c r="BC1">
        <f t="shared" ca="1" si="0"/>
        <v>0</v>
      </c>
      <c r="BD1">
        <f t="shared" ca="1" si="0"/>
        <v>0</v>
      </c>
      <c r="BE1">
        <f t="shared" ca="1" si="0"/>
        <v>0</v>
      </c>
      <c r="BF1">
        <f t="shared" ca="1" si="0"/>
        <v>0</v>
      </c>
      <c r="BG1">
        <f t="shared" ca="1" si="0"/>
        <v>0</v>
      </c>
      <c r="BH1">
        <f t="shared" ca="1" si="0"/>
        <v>0</v>
      </c>
      <c r="BI1">
        <f t="shared" ca="1" si="0"/>
        <v>0</v>
      </c>
      <c r="BJ1">
        <f t="shared" ca="1" si="0"/>
        <v>0</v>
      </c>
      <c r="BK1">
        <f t="shared" ca="1" si="0"/>
        <v>0</v>
      </c>
      <c r="BL1">
        <f t="shared" ca="1" si="0"/>
        <v>0</v>
      </c>
      <c r="BM1">
        <f t="shared" ca="1" si="0"/>
        <v>0</v>
      </c>
      <c r="BN1">
        <f t="shared" ref="BN1:DY1" ca="1" si="1">BN74</f>
        <v>0</v>
      </c>
      <c r="BO1">
        <f t="shared" ca="1" si="1"/>
        <v>0</v>
      </c>
      <c r="BP1">
        <f t="shared" ca="1" si="1"/>
        <v>0</v>
      </c>
      <c r="BQ1">
        <f t="shared" ca="1" si="1"/>
        <v>0</v>
      </c>
      <c r="BR1">
        <f t="shared" ca="1" si="1"/>
        <v>0</v>
      </c>
      <c r="BS1">
        <f t="shared" ca="1" si="1"/>
        <v>0</v>
      </c>
      <c r="BT1">
        <f t="shared" ca="1" si="1"/>
        <v>0</v>
      </c>
      <c r="BU1">
        <f t="shared" ca="1" si="1"/>
        <v>0</v>
      </c>
      <c r="BV1">
        <f t="shared" ca="1" si="1"/>
        <v>0</v>
      </c>
      <c r="BW1">
        <f t="shared" ca="1" si="1"/>
        <v>0</v>
      </c>
      <c r="BX1">
        <f t="shared" ca="1" si="1"/>
        <v>0</v>
      </c>
      <c r="BY1">
        <f t="shared" ca="1" si="1"/>
        <v>0</v>
      </c>
      <c r="BZ1">
        <f t="shared" ca="1" si="1"/>
        <v>0</v>
      </c>
      <c r="CA1">
        <f t="shared" ca="1" si="1"/>
        <v>0</v>
      </c>
      <c r="CB1">
        <f t="shared" ca="1" si="1"/>
        <v>0</v>
      </c>
      <c r="CC1">
        <f t="shared" ca="1" si="1"/>
        <v>0</v>
      </c>
      <c r="CD1">
        <f t="shared" ca="1" si="1"/>
        <v>0</v>
      </c>
      <c r="CE1">
        <f t="shared" ca="1" si="1"/>
        <v>0</v>
      </c>
      <c r="CF1">
        <f t="shared" ca="1" si="1"/>
        <v>0</v>
      </c>
      <c r="CG1">
        <f t="shared" ca="1" si="1"/>
        <v>0</v>
      </c>
      <c r="CH1">
        <f t="shared" ca="1" si="1"/>
        <v>0</v>
      </c>
      <c r="CI1">
        <f t="shared" ca="1" si="1"/>
        <v>0</v>
      </c>
      <c r="CJ1">
        <f t="shared" ca="1" si="1"/>
        <v>0</v>
      </c>
      <c r="CK1">
        <f t="shared" ca="1" si="1"/>
        <v>0</v>
      </c>
      <c r="CL1">
        <f t="shared" ca="1" si="1"/>
        <v>0</v>
      </c>
      <c r="CM1">
        <f t="shared" ca="1" si="1"/>
        <v>0</v>
      </c>
      <c r="CN1">
        <f t="shared" ca="1" si="1"/>
        <v>0</v>
      </c>
      <c r="CO1">
        <f t="shared" ca="1" si="1"/>
        <v>0</v>
      </c>
      <c r="CP1">
        <f t="shared" ca="1" si="1"/>
        <v>0</v>
      </c>
      <c r="CQ1">
        <f t="shared" ca="1" si="1"/>
        <v>0</v>
      </c>
      <c r="CR1">
        <f t="shared" ca="1" si="1"/>
        <v>0</v>
      </c>
      <c r="CS1">
        <f t="shared" ca="1" si="1"/>
        <v>0</v>
      </c>
      <c r="CT1">
        <f t="shared" ca="1" si="1"/>
        <v>0</v>
      </c>
      <c r="CU1">
        <f t="shared" ca="1" si="1"/>
        <v>0</v>
      </c>
      <c r="CV1">
        <f t="shared" ca="1" si="1"/>
        <v>0</v>
      </c>
      <c r="CW1" t="str">
        <f t="shared" ca="1" si="1"/>
        <v>Winner Group A</v>
      </c>
      <c r="CX1">
        <f t="shared" ca="1" si="1"/>
        <v>0</v>
      </c>
      <c r="CY1">
        <f t="shared" ca="1" si="1"/>
        <v>0</v>
      </c>
      <c r="CZ1" t="str">
        <f t="shared" ca="1" si="1"/>
        <v>Runner-up Group B</v>
      </c>
      <c r="DA1">
        <f t="shared" ca="1" si="1"/>
        <v>0</v>
      </c>
      <c r="DB1">
        <f t="shared" ca="1" si="1"/>
        <v>0</v>
      </c>
      <c r="DC1" t="str">
        <f t="shared" ca="1" si="1"/>
        <v>Winner Group C</v>
      </c>
      <c r="DD1">
        <f t="shared" ca="1" si="1"/>
        <v>0</v>
      </c>
      <c r="DE1">
        <f t="shared" ca="1" si="1"/>
        <v>0</v>
      </c>
      <c r="DF1" t="str">
        <f t="shared" ca="1" si="1"/>
        <v>Runner-up Group D</v>
      </c>
      <c r="DG1">
        <f t="shared" ca="1" si="1"/>
        <v>0</v>
      </c>
      <c r="DH1">
        <f t="shared" ca="1" si="1"/>
        <v>0</v>
      </c>
      <c r="DI1" t="str">
        <f t="shared" ca="1" si="1"/>
        <v>Winner Group B</v>
      </c>
      <c r="DJ1">
        <f t="shared" ca="1" si="1"/>
        <v>0</v>
      </c>
      <c r="DK1">
        <f t="shared" ca="1" si="1"/>
        <v>0</v>
      </c>
      <c r="DL1" t="str">
        <f t="shared" ca="1" si="1"/>
        <v>Runner-up Group A</v>
      </c>
      <c r="DM1">
        <f t="shared" ca="1" si="1"/>
        <v>0</v>
      </c>
      <c r="DN1">
        <f t="shared" ca="1" si="1"/>
        <v>0</v>
      </c>
      <c r="DO1" t="str">
        <f t="shared" ca="1" si="1"/>
        <v>Winner Group D</v>
      </c>
      <c r="DP1">
        <f t="shared" ca="1" si="1"/>
        <v>0</v>
      </c>
      <c r="DQ1">
        <f t="shared" ca="1" si="1"/>
        <v>0</v>
      </c>
      <c r="DR1" t="str">
        <f t="shared" ca="1" si="1"/>
        <v>Runner-up Group C</v>
      </c>
      <c r="DS1">
        <f t="shared" ca="1" si="1"/>
        <v>0</v>
      </c>
      <c r="DT1">
        <f t="shared" ca="1" si="1"/>
        <v>0</v>
      </c>
      <c r="DU1" t="str">
        <f t="shared" ca="1" si="1"/>
        <v>Winner Group E</v>
      </c>
      <c r="DV1">
        <f t="shared" ca="1" si="1"/>
        <v>0</v>
      </c>
      <c r="DW1">
        <f t="shared" ca="1" si="1"/>
        <v>0</v>
      </c>
      <c r="DX1" t="str">
        <f t="shared" ca="1" si="1"/>
        <v>Runner-up Group F</v>
      </c>
      <c r="DY1">
        <f t="shared" ca="1" si="1"/>
        <v>0</v>
      </c>
      <c r="DZ1">
        <f t="shared" ref="DZ1:GK1" ca="1" si="2">DZ74</f>
        <v>0</v>
      </c>
      <c r="EA1" t="str">
        <f t="shared" ca="1" si="2"/>
        <v>Winner Group G</v>
      </c>
      <c r="EB1">
        <f t="shared" ca="1" si="2"/>
        <v>0</v>
      </c>
      <c r="EC1">
        <f t="shared" ca="1" si="2"/>
        <v>0</v>
      </c>
      <c r="ED1" t="str">
        <f t="shared" ca="1" si="2"/>
        <v>Runner-up Group H</v>
      </c>
      <c r="EE1">
        <f t="shared" ca="1" si="2"/>
        <v>0</v>
      </c>
      <c r="EF1">
        <f t="shared" ca="1" si="2"/>
        <v>0</v>
      </c>
      <c r="EG1" t="str">
        <f t="shared" ca="1" si="2"/>
        <v>Winner Group F</v>
      </c>
      <c r="EH1">
        <f t="shared" ca="1" si="2"/>
        <v>0</v>
      </c>
      <c r="EI1">
        <f t="shared" ca="1" si="2"/>
        <v>0</v>
      </c>
      <c r="EJ1" t="str">
        <f t="shared" ca="1" si="2"/>
        <v>Runner-up Group E</v>
      </c>
      <c r="EK1">
        <f t="shared" ca="1" si="2"/>
        <v>0</v>
      </c>
      <c r="EL1">
        <f t="shared" ca="1" si="2"/>
        <v>0</v>
      </c>
      <c r="EM1" t="str">
        <f t="shared" ca="1" si="2"/>
        <v>Winner Group H</v>
      </c>
      <c r="EN1">
        <f t="shared" ca="1" si="2"/>
        <v>0</v>
      </c>
      <c r="EO1">
        <f t="shared" ca="1" si="2"/>
        <v>0</v>
      </c>
      <c r="EP1" t="str">
        <f t="shared" ca="1" si="2"/>
        <v>Runner-up Group G</v>
      </c>
      <c r="EQ1">
        <f t="shared" ca="1" si="2"/>
        <v>0</v>
      </c>
      <c r="ER1">
        <f t="shared" ca="1" si="2"/>
        <v>0</v>
      </c>
      <c r="ES1" t="str">
        <f t="shared" ca="1" si="2"/>
        <v>Winner Match 49</v>
      </c>
      <c r="ET1">
        <f t="shared" ca="1" si="2"/>
        <v>0</v>
      </c>
      <c r="EU1">
        <f t="shared" ca="1" si="2"/>
        <v>0</v>
      </c>
      <c r="EV1" t="str">
        <f t="shared" ca="1" si="2"/>
        <v>Winner Match 50</v>
      </c>
      <c r="EW1">
        <f t="shared" ca="1" si="2"/>
        <v>0</v>
      </c>
      <c r="EX1">
        <f t="shared" ca="1" si="2"/>
        <v>0</v>
      </c>
      <c r="EY1" t="str">
        <f t="shared" ca="1" si="2"/>
        <v>Winner Match 53</v>
      </c>
      <c r="EZ1">
        <f t="shared" ca="1" si="2"/>
        <v>0</v>
      </c>
      <c r="FA1">
        <f t="shared" ca="1" si="2"/>
        <v>0</v>
      </c>
      <c r="FB1" t="str">
        <f t="shared" ca="1" si="2"/>
        <v>Winner Match 54</v>
      </c>
      <c r="FC1">
        <f t="shared" ca="1" si="2"/>
        <v>0</v>
      </c>
      <c r="FD1">
        <f t="shared" ca="1" si="2"/>
        <v>0</v>
      </c>
      <c r="FE1" t="str">
        <f t="shared" ca="1" si="2"/>
        <v>Winner Match 51</v>
      </c>
      <c r="FF1">
        <f t="shared" ca="1" si="2"/>
        <v>0</v>
      </c>
      <c r="FG1">
        <f t="shared" ca="1" si="2"/>
        <v>0</v>
      </c>
      <c r="FH1" t="str">
        <f t="shared" ca="1" si="2"/>
        <v>Winner Match 52</v>
      </c>
      <c r="FI1">
        <f t="shared" ca="1" si="2"/>
        <v>0</v>
      </c>
      <c r="FJ1">
        <f t="shared" ca="1" si="2"/>
        <v>0</v>
      </c>
      <c r="FK1" t="str">
        <f t="shared" ca="1" si="2"/>
        <v>Winner Match 55</v>
      </c>
      <c r="FL1">
        <f t="shared" ca="1" si="2"/>
        <v>0</v>
      </c>
      <c r="FM1">
        <f t="shared" ca="1" si="2"/>
        <v>0</v>
      </c>
      <c r="FN1" t="str">
        <f t="shared" ca="1" si="2"/>
        <v>Winner Match 56</v>
      </c>
      <c r="FO1">
        <f t="shared" ca="1" si="2"/>
        <v>0</v>
      </c>
      <c r="FP1">
        <f t="shared" ca="1" si="2"/>
        <v>0</v>
      </c>
      <c r="FQ1" t="str">
        <f t="shared" ca="1" si="2"/>
        <v>Winner Match 57</v>
      </c>
      <c r="FR1">
        <f t="shared" ca="1" si="2"/>
        <v>0</v>
      </c>
      <c r="FS1">
        <f t="shared" ca="1" si="2"/>
        <v>0</v>
      </c>
      <c r="FT1" t="str">
        <f t="shared" ca="1" si="2"/>
        <v>Winner Match 58</v>
      </c>
      <c r="FU1">
        <f t="shared" ca="1" si="2"/>
        <v>0</v>
      </c>
      <c r="FV1">
        <f t="shared" ca="1" si="2"/>
        <v>0</v>
      </c>
      <c r="FW1" t="str">
        <f t="shared" ca="1" si="2"/>
        <v>Winner Match 59</v>
      </c>
      <c r="FX1">
        <f t="shared" ca="1" si="2"/>
        <v>0</v>
      </c>
      <c r="FY1">
        <f t="shared" ca="1" si="2"/>
        <v>0</v>
      </c>
      <c r="FZ1" t="str">
        <f t="shared" ca="1" si="2"/>
        <v>Winner Match 60</v>
      </c>
      <c r="GA1">
        <f t="shared" ca="1" si="2"/>
        <v>0</v>
      </c>
      <c r="GB1">
        <f t="shared" ca="1" si="2"/>
        <v>0</v>
      </c>
      <c r="GC1" t="str">
        <f t="shared" ca="1" si="2"/>
        <v>Loser Match 61</v>
      </c>
      <c r="GD1">
        <f t="shared" ca="1" si="2"/>
        <v>0</v>
      </c>
      <c r="GE1">
        <f t="shared" ca="1" si="2"/>
        <v>0</v>
      </c>
      <c r="GF1" t="str">
        <f t="shared" ca="1" si="2"/>
        <v>Loser Match 62</v>
      </c>
      <c r="GG1">
        <f t="shared" ca="1" si="2"/>
        <v>0</v>
      </c>
      <c r="GH1">
        <f t="shared" ca="1" si="2"/>
        <v>0</v>
      </c>
      <c r="GI1" t="str">
        <f t="shared" ca="1" si="2"/>
        <v>Winner Match 61</v>
      </c>
      <c r="GJ1">
        <f t="shared" ca="1" si="2"/>
        <v>0</v>
      </c>
      <c r="GK1">
        <f t="shared" ca="1" si="2"/>
        <v>0</v>
      </c>
      <c r="GL1" t="str">
        <f t="shared" ref="GL1:GN1" ca="1" si="3">GL74</f>
        <v>Winner Match 62</v>
      </c>
      <c r="GM1">
        <f t="shared" ca="1" si="3"/>
        <v>0</v>
      </c>
      <c r="GN1">
        <f t="shared" ca="1" si="3"/>
        <v>0</v>
      </c>
    </row>
    <row r="2" spans="1:196" x14ac:dyDescent="0.25">
      <c r="A2" t="str">
        <f>Wallchart!E16</f>
        <v>Qatar</v>
      </c>
      <c r="B2">
        <f>Wallchart!F16</f>
        <v>0</v>
      </c>
      <c r="C2">
        <f>Wallchart!G16</f>
        <v>0</v>
      </c>
      <c r="D2" t="str">
        <f>Wallchart!H16</f>
        <v>Ecuador</v>
      </c>
    </row>
    <row r="3" spans="1:196" x14ac:dyDescent="0.25">
      <c r="A3" t="str">
        <f>Wallchart!E17</f>
        <v>Senegal</v>
      </c>
      <c r="B3">
        <f>Wallchart!F17</f>
        <v>0</v>
      </c>
      <c r="C3">
        <f>Wallchart!G17</f>
        <v>0</v>
      </c>
      <c r="D3" t="str">
        <f>Wallchart!H17</f>
        <v>Netherlands</v>
      </c>
    </row>
    <row r="4" spans="1:196" x14ac:dyDescent="0.25">
      <c r="A4" t="str">
        <f>Wallchart!E18</f>
        <v>England</v>
      </c>
      <c r="B4">
        <f>Wallchart!F18</f>
        <v>0</v>
      </c>
      <c r="C4">
        <f>Wallchart!G18</f>
        <v>0</v>
      </c>
      <c r="D4" t="str">
        <f>Wallchart!H18</f>
        <v>Iran</v>
      </c>
    </row>
    <row r="5" spans="1:196" x14ac:dyDescent="0.25">
      <c r="A5" t="str">
        <f>Wallchart!E19</f>
        <v>USA</v>
      </c>
      <c r="B5">
        <f>Wallchart!F19</f>
        <v>0</v>
      </c>
      <c r="C5">
        <f>Wallchart!G19</f>
        <v>0</v>
      </c>
      <c r="D5" t="str">
        <f>Wallchart!H19</f>
        <v>Wales</v>
      </c>
    </row>
    <row r="6" spans="1:196" x14ac:dyDescent="0.25">
      <c r="A6" t="str">
        <f>Wallchart!E20</f>
        <v>Argentina</v>
      </c>
      <c r="B6">
        <f>Wallchart!F20</f>
        <v>0</v>
      </c>
      <c r="C6">
        <f>Wallchart!G20</f>
        <v>0</v>
      </c>
      <c r="D6" t="str">
        <f>Wallchart!H20</f>
        <v>Saudi Arabia</v>
      </c>
    </row>
    <row r="7" spans="1:196" x14ac:dyDescent="0.25">
      <c r="A7" t="str">
        <f>Wallchart!E23</f>
        <v>France</v>
      </c>
      <c r="B7">
        <f>Wallchart!F23</f>
        <v>0</v>
      </c>
      <c r="C7">
        <f>Wallchart!G23</f>
        <v>0</v>
      </c>
      <c r="D7" t="str">
        <f>Wallchart!H23</f>
        <v>Australia</v>
      </c>
    </row>
    <row r="8" spans="1:196" x14ac:dyDescent="0.25">
      <c r="A8" t="str">
        <f>Wallchart!E22</f>
        <v>Mexico</v>
      </c>
      <c r="B8">
        <f>Wallchart!F22</f>
        <v>0</v>
      </c>
      <c r="C8">
        <f>Wallchart!G22</f>
        <v>0</v>
      </c>
      <c r="D8" t="str">
        <f>Wallchart!H22</f>
        <v>Poland</v>
      </c>
    </row>
    <row r="9" spans="1:196" x14ac:dyDescent="0.25">
      <c r="A9" t="str">
        <f>Wallchart!E21</f>
        <v>Denmark</v>
      </c>
      <c r="B9">
        <f>Wallchart!F21</f>
        <v>0</v>
      </c>
      <c r="C9">
        <f>Wallchart!G21</f>
        <v>0</v>
      </c>
      <c r="D9" t="str">
        <f>Wallchart!H21</f>
        <v>Tunisia</v>
      </c>
    </row>
    <row r="10" spans="1:196" x14ac:dyDescent="0.25">
      <c r="A10" t="str">
        <f>Wallchart!E26</f>
        <v>Spain</v>
      </c>
      <c r="B10">
        <f>Wallchart!F26</f>
        <v>0</v>
      </c>
      <c r="C10">
        <f>Wallchart!G26</f>
        <v>0</v>
      </c>
      <c r="D10" t="str">
        <f>Wallchart!H26</f>
        <v>Costa Rica</v>
      </c>
    </row>
    <row r="11" spans="1:196" x14ac:dyDescent="0.25">
      <c r="A11" t="str">
        <f>Wallchart!E25</f>
        <v>Germany</v>
      </c>
      <c r="B11">
        <f>Wallchart!F25</f>
        <v>0</v>
      </c>
      <c r="C11">
        <f>Wallchart!G25</f>
        <v>0</v>
      </c>
      <c r="D11" t="str">
        <f>Wallchart!H25</f>
        <v>Japan</v>
      </c>
    </row>
    <row r="12" spans="1:196" x14ac:dyDescent="0.25">
      <c r="A12" t="str">
        <f>Wallchart!E27</f>
        <v>Belgium</v>
      </c>
      <c r="B12">
        <f>Wallchart!F27</f>
        <v>0</v>
      </c>
      <c r="C12">
        <f>Wallchart!G27</f>
        <v>0</v>
      </c>
      <c r="D12" t="str">
        <f>Wallchart!H27</f>
        <v>Canada</v>
      </c>
    </row>
    <row r="13" spans="1:196" x14ac:dyDescent="0.25">
      <c r="A13" t="str">
        <f>Wallchart!E31</f>
        <v>Brazil</v>
      </c>
      <c r="B13">
        <f>Wallchart!F31</f>
        <v>0</v>
      </c>
      <c r="C13">
        <f>Wallchart!G31</f>
        <v>0</v>
      </c>
      <c r="D13" t="str">
        <f>Wallchart!H31</f>
        <v>Serbia</v>
      </c>
    </row>
    <row r="14" spans="1:196" x14ac:dyDescent="0.25">
      <c r="A14" t="str">
        <f>Wallchart!E24</f>
        <v>Morocco</v>
      </c>
      <c r="B14">
        <f>Wallchart!F24</f>
        <v>0</v>
      </c>
      <c r="C14">
        <f>Wallchart!G24</f>
        <v>0</v>
      </c>
      <c r="D14" t="str">
        <f>Wallchart!H24</f>
        <v>Croatia</v>
      </c>
    </row>
    <row r="15" spans="1:196" x14ac:dyDescent="0.25">
      <c r="A15" t="str">
        <f>Wallchart!E28</f>
        <v>Switzerland</v>
      </c>
      <c r="B15">
        <f>Wallchart!F28</f>
        <v>0</v>
      </c>
      <c r="C15">
        <f>Wallchart!G28</f>
        <v>0</v>
      </c>
      <c r="D15" t="str">
        <f>Wallchart!H28</f>
        <v>Cameroon</v>
      </c>
    </row>
    <row r="16" spans="1:196" x14ac:dyDescent="0.25">
      <c r="A16" t="str">
        <f>Wallchart!E30</f>
        <v>Portugal</v>
      </c>
      <c r="B16">
        <f>Wallchart!F30</f>
        <v>0</v>
      </c>
      <c r="C16">
        <f>Wallchart!G30</f>
        <v>0</v>
      </c>
      <c r="D16" t="str">
        <f>Wallchart!H30</f>
        <v>Ghana</v>
      </c>
    </row>
    <row r="17" spans="1:4" x14ac:dyDescent="0.25">
      <c r="A17" t="str">
        <f>Wallchart!E33</f>
        <v>Qatar</v>
      </c>
      <c r="B17">
        <f>Wallchart!F33</f>
        <v>0</v>
      </c>
      <c r="C17">
        <f>Wallchart!G33</f>
        <v>0</v>
      </c>
      <c r="D17" t="str">
        <f>Wallchart!H33</f>
        <v>Senegal</v>
      </c>
    </row>
    <row r="18" spans="1:4" x14ac:dyDescent="0.25">
      <c r="A18" t="str">
        <f>Wallchart!E29</f>
        <v>Uruguay</v>
      </c>
      <c r="B18">
        <f>Wallchart!F29</f>
        <v>0</v>
      </c>
      <c r="C18">
        <f>Wallchart!G29</f>
        <v>0</v>
      </c>
      <c r="D18" t="str">
        <f>Wallchart!H29</f>
        <v>Korea Republic</v>
      </c>
    </row>
    <row r="19" spans="1:4" x14ac:dyDescent="0.25">
      <c r="A19" t="str">
        <f>Wallchart!E32</f>
        <v>Wales</v>
      </c>
      <c r="B19">
        <f>Wallchart!F32</f>
        <v>0</v>
      </c>
      <c r="C19">
        <f>Wallchart!G32</f>
        <v>0</v>
      </c>
      <c r="D19" t="str">
        <f>Wallchart!H32</f>
        <v>Iran</v>
      </c>
    </row>
    <row r="20" spans="1:4" x14ac:dyDescent="0.25">
      <c r="A20" t="str">
        <f>Wallchart!E34</f>
        <v>Netherlands</v>
      </c>
      <c r="B20">
        <f>Wallchart!F34</f>
        <v>0</v>
      </c>
      <c r="C20">
        <f>Wallchart!G34</f>
        <v>0</v>
      </c>
      <c r="D20" t="str">
        <f>Wallchart!H34</f>
        <v>Ecuador</v>
      </c>
    </row>
    <row r="21" spans="1:4" x14ac:dyDescent="0.25">
      <c r="A21" t="str">
        <f>Wallchart!E35</f>
        <v>England</v>
      </c>
      <c r="B21">
        <f>Wallchart!F35</f>
        <v>0</v>
      </c>
      <c r="C21">
        <f>Wallchart!G35</f>
        <v>0</v>
      </c>
      <c r="D21" t="str">
        <f>Wallchart!H35</f>
        <v>USA</v>
      </c>
    </row>
    <row r="22" spans="1:4" x14ac:dyDescent="0.25">
      <c r="A22" t="str">
        <f>Wallchart!E39</f>
        <v>Argentina</v>
      </c>
      <c r="B22">
        <f>Wallchart!F39</f>
        <v>0</v>
      </c>
      <c r="C22">
        <f>Wallchart!G39</f>
        <v>0</v>
      </c>
      <c r="D22" t="str">
        <f>Wallchart!H39</f>
        <v>Mexico</v>
      </c>
    </row>
    <row r="23" spans="1:4" x14ac:dyDescent="0.25">
      <c r="A23" t="str">
        <f>Wallchart!E38</f>
        <v>France</v>
      </c>
      <c r="B23">
        <f>Wallchart!F38</f>
        <v>0</v>
      </c>
      <c r="C23">
        <f>Wallchart!G38</f>
        <v>0</v>
      </c>
      <c r="D23" t="str">
        <f>Wallchart!H38</f>
        <v>Denmark</v>
      </c>
    </row>
    <row r="24" spans="1:4" x14ac:dyDescent="0.25">
      <c r="A24" t="str">
        <f>Wallchart!E37</f>
        <v>Poland</v>
      </c>
      <c r="B24">
        <f>Wallchart!F37</f>
        <v>0</v>
      </c>
      <c r="C24">
        <f>Wallchart!G37</f>
        <v>0</v>
      </c>
      <c r="D24" t="str">
        <f>Wallchart!H37</f>
        <v>Saudi Arabia</v>
      </c>
    </row>
    <row r="25" spans="1:4" x14ac:dyDescent="0.25">
      <c r="A25" t="str">
        <f>Wallchart!E36</f>
        <v>Tunisia</v>
      </c>
      <c r="B25">
        <f>Wallchart!F36</f>
        <v>0</v>
      </c>
      <c r="C25">
        <f>Wallchart!G36</f>
        <v>0</v>
      </c>
      <c r="D25" t="str">
        <f>Wallchart!H36</f>
        <v>Australia</v>
      </c>
    </row>
    <row r="26" spans="1:4" x14ac:dyDescent="0.25">
      <c r="A26" t="str">
        <f>Wallchart!E43</f>
        <v>Spain</v>
      </c>
      <c r="B26">
        <f>Wallchart!F43</f>
        <v>0</v>
      </c>
      <c r="C26">
        <f>Wallchart!G43</f>
        <v>0</v>
      </c>
      <c r="D26" t="str">
        <f>Wallchart!H43</f>
        <v>Germany</v>
      </c>
    </row>
    <row r="27" spans="1:4" x14ac:dyDescent="0.25">
      <c r="A27" t="str">
        <f>Wallchart!E40</f>
        <v>Japan</v>
      </c>
      <c r="B27">
        <f>Wallchart!F40</f>
        <v>0</v>
      </c>
      <c r="C27">
        <f>Wallchart!G40</f>
        <v>0</v>
      </c>
      <c r="D27" t="str">
        <f>Wallchart!H40</f>
        <v>Costa Rica</v>
      </c>
    </row>
    <row r="28" spans="1:4" x14ac:dyDescent="0.25">
      <c r="A28" t="str">
        <f>Wallchart!E41</f>
        <v>Belgium</v>
      </c>
      <c r="B28">
        <f>Wallchart!F41</f>
        <v>0</v>
      </c>
      <c r="C28">
        <f>Wallchart!G41</f>
        <v>0</v>
      </c>
      <c r="D28" t="str">
        <f>Wallchart!H41</f>
        <v>Morocco</v>
      </c>
    </row>
    <row r="29" spans="1:4" x14ac:dyDescent="0.25">
      <c r="A29" t="str">
        <f>Wallchart!E46</f>
        <v>Brazil</v>
      </c>
      <c r="B29">
        <f>Wallchart!F46</f>
        <v>0</v>
      </c>
      <c r="C29">
        <f>Wallchart!G46</f>
        <v>0</v>
      </c>
      <c r="D29" t="str">
        <f>Wallchart!H46</f>
        <v>Switzerland</v>
      </c>
    </row>
    <row r="30" spans="1:4" x14ac:dyDescent="0.25">
      <c r="A30" t="str">
        <f>Wallchart!E42</f>
        <v>Croatia</v>
      </c>
      <c r="B30">
        <f>Wallchart!F42</f>
        <v>0</v>
      </c>
      <c r="C30">
        <f>Wallchart!G42</f>
        <v>0</v>
      </c>
      <c r="D30" t="str">
        <f>Wallchart!H42</f>
        <v>Canada</v>
      </c>
    </row>
    <row r="31" spans="1:4" x14ac:dyDescent="0.25">
      <c r="A31" t="str">
        <f>Wallchart!E45</f>
        <v>Korea Republic</v>
      </c>
      <c r="B31">
        <f>Wallchart!F45</f>
        <v>0</v>
      </c>
      <c r="C31">
        <f>Wallchart!G45</f>
        <v>0</v>
      </c>
      <c r="D31" t="str">
        <f>Wallchart!H45</f>
        <v>Ghana</v>
      </c>
    </row>
    <row r="32" spans="1:4" x14ac:dyDescent="0.25">
      <c r="A32" t="str">
        <f>Wallchart!E44</f>
        <v>Cameroon</v>
      </c>
      <c r="B32">
        <f>Wallchart!F44</f>
        <v>0</v>
      </c>
      <c r="C32">
        <f>Wallchart!G44</f>
        <v>0</v>
      </c>
      <c r="D32" t="str">
        <f>Wallchart!H44</f>
        <v>Serbia</v>
      </c>
    </row>
    <row r="33" spans="1:4" x14ac:dyDescent="0.25">
      <c r="A33" t="str">
        <f>Wallchart!E47</f>
        <v>Portugal</v>
      </c>
      <c r="B33">
        <f>Wallchart!F47</f>
        <v>0</v>
      </c>
      <c r="C33">
        <f>Wallchart!G47</f>
        <v>0</v>
      </c>
      <c r="D33" t="str">
        <f>Wallchart!H47</f>
        <v>Uruguay</v>
      </c>
    </row>
    <row r="34" spans="1:4" x14ac:dyDescent="0.25">
      <c r="A34" t="str">
        <f>Wallchart!E50</f>
        <v>Wales</v>
      </c>
      <c r="B34">
        <f>Wallchart!F50</f>
        <v>0</v>
      </c>
      <c r="C34">
        <f>Wallchart!G50</f>
        <v>0</v>
      </c>
      <c r="D34" t="str">
        <f>Wallchart!H50</f>
        <v>England</v>
      </c>
    </row>
    <row r="35" spans="1:4" x14ac:dyDescent="0.25">
      <c r="A35" t="str">
        <f>Wallchart!E51</f>
        <v>Iran</v>
      </c>
      <c r="B35">
        <f>Wallchart!F51</f>
        <v>0</v>
      </c>
      <c r="C35">
        <f>Wallchart!G51</f>
        <v>0</v>
      </c>
      <c r="D35" t="str">
        <f>Wallchart!H51</f>
        <v>USA</v>
      </c>
    </row>
    <row r="36" spans="1:4" x14ac:dyDescent="0.25">
      <c r="A36" t="str">
        <f>Wallchart!E48</f>
        <v>Netherlands</v>
      </c>
      <c r="B36">
        <f>Wallchart!F48</f>
        <v>0</v>
      </c>
      <c r="C36">
        <f>Wallchart!G48</f>
        <v>0</v>
      </c>
      <c r="D36" t="str">
        <f>Wallchart!H48</f>
        <v>Qatar</v>
      </c>
    </row>
    <row r="37" spans="1:4" x14ac:dyDescent="0.25">
      <c r="A37" t="str">
        <f>Wallchart!E49</f>
        <v>Ecuador</v>
      </c>
      <c r="B37">
        <f>Wallchart!F49</f>
        <v>0</v>
      </c>
      <c r="C37">
        <f>Wallchart!G49</f>
        <v>0</v>
      </c>
      <c r="D37" t="str">
        <f>Wallchart!H49</f>
        <v>Senegal</v>
      </c>
    </row>
    <row r="38" spans="1:4" x14ac:dyDescent="0.25">
      <c r="A38" t="str">
        <f>Wallchart!E52</f>
        <v>Tunisia</v>
      </c>
      <c r="B38">
        <f>Wallchart!F52</f>
        <v>0</v>
      </c>
      <c r="C38">
        <f>Wallchart!G52</f>
        <v>0</v>
      </c>
      <c r="D38" t="str">
        <f>Wallchart!H52</f>
        <v>France</v>
      </c>
    </row>
    <row r="39" spans="1:4" x14ac:dyDescent="0.25">
      <c r="A39" t="str">
        <f>Wallchart!E53</f>
        <v>Australia</v>
      </c>
      <c r="B39">
        <f>Wallchart!F53</f>
        <v>0</v>
      </c>
      <c r="C39">
        <f>Wallchart!G53</f>
        <v>0</v>
      </c>
      <c r="D39" t="str">
        <f>Wallchart!H53</f>
        <v>Denmark</v>
      </c>
    </row>
    <row r="40" spans="1:4" x14ac:dyDescent="0.25">
      <c r="A40" t="str">
        <f>Wallchart!E54</f>
        <v>Poland</v>
      </c>
      <c r="B40">
        <f>Wallchart!F54</f>
        <v>0</v>
      </c>
      <c r="C40">
        <f>Wallchart!G54</f>
        <v>0</v>
      </c>
      <c r="D40" t="str">
        <f>Wallchart!H54</f>
        <v>Argentina</v>
      </c>
    </row>
    <row r="41" spans="1:4" x14ac:dyDescent="0.25">
      <c r="A41" t="str">
        <f>Wallchart!E55</f>
        <v>Saudi Arabia</v>
      </c>
      <c r="B41">
        <f>Wallchart!F55</f>
        <v>0</v>
      </c>
      <c r="C41">
        <f>Wallchart!G55</f>
        <v>0</v>
      </c>
      <c r="D41" t="str">
        <f>Wallchart!H55</f>
        <v>Mexico</v>
      </c>
    </row>
    <row r="42" spans="1:4" x14ac:dyDescent="0.25">
      <c r="A42" t="str">
        <f>Wallchart!E56</f>
        <v>Croatia</v>
      </c>
      <c r="B42">
        <f>Wallchart!F56</f>
        <v>0</v>
      </c>
      <c r="C42">
        <f>Wallchart!G56</f>
        <v>0</v>
      </c>
      <c r="D42" t="str">
        <f>Wallchart!H56</f>
        <v>Belgium</v>
      </c>
    </row>
    <row r="43" spans="1:4" x14ac:dyDescent="0.25">
      <c r="A43" t="str">
        <f>Wallchart!E57</f>
        <v>Canada</v>
      </c>
      <c r="B43">
        <f>Wallchart!F57</f>
        <v>0</v>
      </c>
      <c r="C43">
        <f>Wallchart!G57</f>
        <v>0</v>
      </c>
      <c r="D43" t="str">
        <f>Wallchart!H57</f>
        <v>Morocco</v>
      </c>
    </row>
    <row r="44" spans="1:4" x14ac:dyDescent="0.25">
      <c r="A44" t="str">
        <f>Wallchart!E58</f>
        <v>Japan</v>
      </c>
      <c r="B44">
        <f>Wallchart!F58</f>
        <v>0</v>
      </c>
      <c r="C44">
        <f>Wallchart!G58</f>
        <v>0</v>
      </c>
      <c r="D44" t="str">
        <f>Wallchart!H58</f>
        <v>Spain</v>
      </c>
    </row>
    <row r="45" spans="1:4" x14ac:dyDescent="0.25">
      <c r="A45" t="str">
        <f>Wallchart!E59</f>
        <v>Costa Rica</v>
      </c>
      <c r="B45">
        <f>Wallchart!F59</f>
        <v>0</v>
      </c>
      <c r="C45">
        <f>Wallchart!G59</f>
        <v>0</v>
      </c>
      <c r="D45" t="str">
        <f>Wallchart!H59</f>
        <v>Germany</v>
      </c>
    </row>
    <row r="46" spans="1:4" x14ac:dyDescent="0.25">
      <c r="A46" t="str">
        <f>Wallchart!E62</f>
        <v>Cameroon</v>
      </c>
      <c r="B46">
        <f>Wallchart!F62</f>
        <v>0</v>
      </c>
      <c r="C46">
        <f>Wallchart!G62</f>
        <v>0</v>
      </c>
      <c r="D46" t="str">
        <f>Wallchart!H62</f>
        <v>Brazil</v>
      </c>
    </row>
    <row r="47" spans="1:4" x14ac:dyDescent="0.25">
      <c r="A47" t="str">
        <f>Wallchart!E63</f>
        <v>Serbia</v>
      </c>
      <c r="B47">
        <f>Wallchart!F63</f>
        <v>0</v>
      </c>
      <c r="C47">
        <f>Wallchart!G63</f>
        <v>0</v>
      </c>
      <c r="D47" t="str">
        <f>Wallchart!H63</f>
        <v>Switzerland</v>
      </c>
    </row>
    <row r="48" spans="1:4" x14ac:dyDescent="0.25">
      <c r="A48" t="str">
        <f>Wallchart!E60</f>
        <v>Korea Republic</v>
      </c>
      <c r="B48">
        <f>Wallchart!F60</f>
        <v>0</v>
      </c>
      <c r="C48">
        <f>Wallchart!G60</f>
        <v>0</v>
      </c>
      <c r="D48" t="str">
        <f>Wallchart!H60</f>
        <v>Portugal</v>
      </c>
    </row>
    <row r="49" spans="1:6" x14ac:dyDescent="0.25">
      <c r="A49" t="str">
        <f>Wallchart!E61</f>
        <v>Ghana</v>
      </c>
      <c r="B49">
        <f>Wallchart!F61</f>
        <v>0</v>
      </c>
      <c r="C49">
        <f>Wallchart!G61</f>
        <v>0</v>
      </c>
      <c r="D49" t="str">
        <f>Wallchart!H61</f>
        <v>Uruguay</v>
      </c>
    </row>
    <row r="50" spans="1:6" x14ac:dyDescent="0.25">
      <c r="A50" t="str">
        <f>Wallchart!E66</f>
        <v>Winner Group A</v>
      </c>
      <c r="B50">
        <f>Wallchart!F66</f>
        <v>0</v>
      </c>
      <c r="C50">
        <f>Wallchart!G66</f>
        <v>0</v>
      </c>
      <c r="D50" t="str">
        <f>Wallchart!H66</f>
        <v>Runner-up Group B</v>
      </c>
      <c r="E50">
        <f>Wallchart!I66</f>
        <v>0</v>
      </c>
      <c r="F50">
        <f>Wallchart!J66</f>
        <v>0</v>
      </c>
    </row>
    <row r="51" spans="1:6" x14ac:dyDescent="0.25">
      <c r="A51" t="str">
        <f>Wallchart!E67</f>
        <v>Winner Group C</v>
      </c>
      <c r="B51">
        <f>Wallchart!F67</f>
        <v>0</v>
      </c>
      <c r="C51">
        <f>Wallchart!G67</f>
        <v>0</v>
      </c>
      <c r="D51" t="str">
        <f>Wallchart!H67</f>
        <v>Runner-up Group D</v>
      </c>
      <c r="E51">
        <f>Wallchart!I67</f>
        <v>0</v>
      </c>
      <c r="F51">
        <f>Wallchart!J67</f>
        <v>0</v>
      </c>
    </row>
    <row r="52" spans="1:6" x14ac:dyDescent="0.25">
      <c r="A52" t="str">
        <f>Wallchart!E69</f>
        <v>Winner Group B</v>
      </c>
      <c r="B52">
        <f>Wallchart!F69</f>
        <v>0</v>
      </c>
      <c r="C52">
        <f>Wallchart!G69</f>
        <v>0</v>
      </c>
      <c r="D52" t="str">
        <f>Wallchart!H69</f>
        <v>Runner-up Group A</v>
      </c>
      <c r="E52">
        <f>Wallchart!I69</f>
        <v>0</v>
      </c>
      <c r="F52">
        <f>Wallchart!J69</f>
        <v>0</v>
      </c>
    </row>
    <row r="53" spans="1:6" x14ac:dyDescent="0.25">
      <c r="A53" t="str">
        <f>Wallchart!E68</f>
        <v>Winner Group D</v>
      </c>
      <c r="B53">
        <f>Wallchart!F68</f>
        <v>0</v>
      </c>
      <c r="C53">
        <f>Wallchart!G68</f>
        <v>0</v>
      </c>
      <c r="D53" t="str">
        <f>Wallchart!H68</f>
        <v>Runner-up Group C</v>
      </c>
      <c r="E53">
        <f>Wallchart!I68</f>
        <v>0</v>
      </c>
      <c r="F53">
        <f>Wallchart!J68</f>
        <v>0</v>
      </c>
    </row>
    <row r="54" spans="1:6" x14ac:dyDescent="0.25">
      <c r="A54" t="str">
        <f>Wallchart!E70</f>
        <v>Winner Group E</v>
      </c>
      <c r="B54">
        <f>Wallchart!F70</f>
        <v>0</v>
      </c>
      <c r="C54">
        <f>Wallchart!G70</f>
        <v>0</v>
      </c>
      <c r="D54" t="str">
        <f>Wallchart!H70</f>
        <v>Runner-up Group F</v>
      </c>
      <c r="E54">
        <f>Wallchart!I70</f>
        <v>0</v>
      </c>
      <c r="F54">
        <f>Wallchart!J70</f>
        <v>0</v>
      </c>
    </row>
    <row r="55" spans="1:6" x14ac:dyDescent="0.25">
      <c r="A55" t="str">
        <f>Wallchart!E71</f>
        <v>Winner Group G</v>
      </c>
      <c r="B55">
        <f>Wallchart!F71</f>
        <v>0</v>
      </c>
      <c r="C55">
        <f>Wallchart!G71</f>
        <v>0</v>
      </c>
      <c r="D55" t="str">
        <f>Wallchart!H71</f>
        <v>Runner-up Group H</v>
      </c>
      <c r="E55">
        <f>Wallchart!I71</f>
        <v>0</v>
      </c>
      <c r="F55">
        <f>Wallchart!J71</f>
        <v>0</v>
      </c>
    </row>
    <row r="56" spans="1:6" x14ac:dyDescent="0.25">
      <c r="A56" t="str">
        <f>Wallchart!E72</f>
        <v>Winner Group F</v>
      </c>
      <c r="B56">
        <f>Wallchart!F72</f>
        <v>0</v>
      </c>
      <c r="C56">
        <f>Wallchart!G72</f>
        <v>0</v>
      </c>
      <c r="D56" t="str">
        <f>Wallchart!H72</f>
        <v>Runner-up Group E</v>
      </c>
      <c r="E56">
        <f>Wallchart!I72</f>
        <v>0</v>
      </c>
      <c r="F56">
        <f>Wallchart!J72</f>
        <v>0</v>
      </c>
    </row>
    <row r="57" spans="1:6" x14ac:dyDescent="0.25">
      <c r="A57" t="str">
        <f>Wallchart!E73</f>
        <v>Winner Group H</v>
      </c>
      <c r="B57">
        <f>Wallchart!F73</f>
        <v>0</v>
      </c>
      <c r="C57">
        <f>Wallchart!G73</f>
        <v>0</v>
      </c>
      <c r="D57" t="str">
        <f>Wallchart!H73</f>
        <v>Runner-up Group G</v>
      </c>
      <c r="E57">
        <f>Wallchart!I73</f>
        <v>0</v>
      </c>
      <c r="F57">
        <f>Wallchart!J73</f>
        <v>0</v>
      </c>
    </row>
    <row r="58" spans="1:6" x14ac:dyDescent="0.25">
      <c r="A58" t="str">
        <f>Wallchart!E76</f>
        <v>Winner Match 49</v>
      </c>
      <c r="B58">
        <f>Wallchart!F76</f>
        <v>0</v>
      </c>
      <c r="C58">
        <f>Wallchart!G76</f>
        <v>0</v>
      </c>
      <c r="D58" t="str">
        <f>Wallchart!H76</f>
        <v>Winner Match 50</v>
      </c>
      <c r="E58">
        <f>Wallchart!I76</f>
        <v>0</v>
      </c>
      <c r="F58">
        <f>Wallchart!J76</f>
        <v>0</v>
      </c>
    </row>
    <row r="59" spans="1:6" x14ac:dyDescent="0.25">
      <c r="A59" t="str">
        <f>Wallchart!E77</f>
        <v>Winner Match 53</v>
      </c>
      <c r="B59">
        <f>Wallchart!F77</f>
        <v>0</v>
      </c>
      <c r="C59">
        <f>Wallchart!G77</f>
        <v>0</v>
      </c>
      <c r="D59" t="str">
        <f>Wallchart!H77</f>
        <v>Winner Match 54</v>
      </c>
      <c r="E59">
        <f>Wallchart!I77</f>
        <v>0</v>
      </c>
      <c r="F59">
        <f>Wallchart!J77</f>
        <v>0</v>
      </c>
    </row>
    <row r="60" spans="1:6" x14ac:dyDescent="0.25">
      <c r="A60" t="str">
        <f>Wallchart!E79</f>
        <v>Winner Match 51</v>
      </c>
      <c r="B60">
        <f>Wallchart!F79</f>
        <v>0</v>
      </c>
      <c r="C60">
        <f>Wallchart!G79</f>
        <v>0</v>
      </c>
      <c r="D60" t="str">
        <f>Wallchart!H79</f>
        <v>Winner Match 52</v>
      </c>
      <c r="E60">
        <f>Wallchart!I79</f>
        <v>0</v>
      </c>
      <c r="F60">
        <f>Wallchart!J79</f>
        <v>0</v>
      </c>
    </row>
    <row r="61" spans="1:6" x14ac:dyDescent="0.25">
      <c r="A61" t="str">
        <f>Wallchart!E78</f>
        <v>Winner Match 55</v>
      </c>
      <c r="B61">
        <f>Wallchart!F78</f>
        <v>0</v>
      </c>
      <c r="C61">
        <f>Wallchart!G78</f>
        <v>0</v>
      </c>
      <c r="D61" t="str">
        <f>Wallchart!H78</f>
        <v>Winner Match 56</v>
      </c>
      <c r="E61">
        <f>Wallchart!I78</f>
        <v>0</v>
      </c>
      <c r="F61">
        <f>Wallchart!J78</f>
        <v>0</v>
      </c>
    </row>
    <row r="62" spans="1:6" x14ac:dyDescent="0.25">
      <c r="A62" t="str">
        <f>Wallchart!E82</f>
        <v>Winner Match 57</v>
      </c>
      <c r="B62">
        <f>Wallchart!F82</f>
        <v>0</v>
      </c>
      <c r="C62">
        <f>Wallchart!G82</f>
        <v>0</v>
      </c>
      <c r="D62" t="str">
        <f>Wallchart!H82</f>
        <v>Winner Match 58</v>
      </c>
      <c r="E62">
        <f>Wallchart!I82</f>
        <v>0</v>
      </c>
      <c r="F62">
        <f>Wallchart!J82</f>
        <v>0</v>
      </c>
    </row>
    <row r="63" spans="1:6" x14ac:dyDescent="0.25">
      <c r="A63" t="str">
        <f>Wallchart!E83</f>
        <v>Winner Match 59</v>
      </c>
      <c r="B63">
        <f>Wallchart!F83</f>
        <v>0</v>
      </c>
      <c r="C63">
        <f>Wallchart!G83</f>
        <v>0</v>
      </c>
      <c r="D63" t="str">
        <f>Wallchart!H83</f>
        <v>Winner Match 60</v>
      </c>
      <c r="E63">
        <f>Wallchart!I83</f>
        <v>0</v>
      </c>
      <c r="F63">
        <f>Wallchart!J83</f>
        <v>0</v>
      </c>
    </row>
    <row r="64" spans="1:6" x14ac:dyDescent="0.25">
      <c r="A64" t="str">
        <f>Wallchart!E86</f>
        <v>Loser Match 61</v>
      </c>
      <c r="B64">
        <f>Wallchart!F86</f>
        <v>0</v>
      </c>
      <c r="C64">
        <f>Wallchart!G86</f>
        <v>0</v>
      </c>
      <c r="D64" t="str">
        <f>Wallchart!H86</f>
        <v>Loser Match 62</v>
      </c>
      <c r="E64">
        <f>Wallchart!I86</f>
        <v>0</v>
      </c>
      <c r="F64">
        <f>Wallchart!J86</f>
        <v>0</v>
      </c>
    </row>
    <row r="65" spans="1:196" x14ac:dyDescent="0.25">
      <c r="A65" t="str">
        <f>Wallchart!E89</f>
        <v>Winner Match 61</v>
      </c>
      <c r="B65">
        <f>Wallchart!F89</f>
        <v>0</v>
      </c>
      <c r="C65">
        <f>Wallchart!G89</f>
        <v>0</v>
      </c>
      <c r="D65" t="str">
        <f>Wallchart!H89</f>
        <v>Winner Match 62</v>
      </c>
      <c r="E65">
        <f>Wallchart!I89</f>
        <v>0</v>
      </c>
      <c r="F65">
        <f>Wallchart!J89</f>
        <v>0</v>
      </c>
    </row>
    <row r="66" spans="1:196" x14ac:dyDescent="0.25">
      <c r="A66" t="e">
        <f>Wallchart!#REF!</f>
        <v>#REF!</v>
      </c>
    </row>
    <row r="67" spans="1:196" x14ac:dyDescent="0.25">
      <c r="A67" t="e">
        <f>Wallchart!#REF!</f>
        <v>#REF!</v>
      </c>
    </row>
    <row r="68" spans="1:196" x14ac:dyDescent="0.25">
      <c r="A68" t="e">
        <f>Wallchart!#REF!</f>
        <v>#REF!</v>
      </c>
    </row>
    <row r="69" spans="1:196" x14ac:dyDescent="0.25">
      <c r="A69" t="e">
        <f>Wallchart!#REF!</f>
        <v>#REF!</v>
      </c>
    </row>
    <row r="71" spans="1:196" s="5" customFormat="1" x14ac:dyDescent="0.25">
      <c r="A71" s="5" t="s">
        <v>240</v>
      </c>
      <c r="B71" s="5" t="s">
        <v>240</v>
      </c>
      <c r="C71" s="5" t="s">
        <v>240</v>
      </c>
      <c r="D71" s="5" t="s">
        <v>240</v>
      </c>
      <c r="E71" s="5" t="s">
        <v>235</v>
      </c>
      <c r="F71" s="5" t="s">
        <v>236</v>
      </c>
      <c r="G71" s="5" t="str">
        <f>E71</f>
        <v>b</v>
      </c>
      <c r="H71" s="5" t="str">
        <f>F71</f>
        <v>c</v>
      </c>
      <c r="I71" s="5" t="str">
        <f t="shared" ref="I71:BT71" si="4">G71</f>
        <v>b</v>
      </c>
      <c r="J71" s="5" t="str">
        <f t="shared" si="4"/>
        <v>c</v>
      </c>
      <c r="K71" s="5" t="str">
        <f t="shared" si="4"/>
        <v>b</v>
      </c>
      <c r="L71" s="5" t="str">
        <f t="shared" si="4"/>
        <v>c</v>
      </c>
      <c r="M71" s="5" t="str">
        <f t="shared" si="4"/>
        <v>b</v>
      </c>
      <c r="N71" s="5" t="str">
        <f t="shared" si="4"/>
        <v>c</v>
      </c>
      <c r="O71" s="5" t="str">
        <f t="shared" si="4"/>
        <v>b</v>
      </c>
      <c r="P71" s="5" t="str">
        <f t="shared" si="4"/>
        <v>c</v>
      </c>
      <c r="Q71" s="5" t="str">
        <f t="shared" si="4"/>
        <v>b</v>
      </c>
      <c r="R71" s="5" t="str">
        <f t="shared" si="4"/>
        <v>c</v>
      </c>
      <c r="S71" s="5" t="str">
        <f t="shared" si="4"/>
        <v>b</v>
      </c>
      <c r="T71" s="5" t="str">
        <f t="shared" si="4"/>
        <v>c</v>
      </c>
      <c r="U71" s="5" t="str">
        <f t="shared" si="4"/>
        <v>b</v>
      </c>
      <c r="V71" s="5" t="str">
        <f t="shared" si="4"/>
        <v>c</v>
      </c>
      <c r="W71" s="5" t="str">
        <f t="shared" si="4"/>
        <v>b</v>
      </c>
      <c r="X71" s="5" t="str">
        <f t="shared" si="4"/>
        <v>c</v>
      </c>
      <c r="Y71" s="5" t="str">
        <f t="shared" si="4"/>
        <v>b</v>
      </c>
      <c r="Z71" s="5" t="str">
        <f t="shared" si="4"/>
        <v>c</v>
      </c>
      <c r="AA71" s="5" t="str">
        <f t="shared" si="4"/>
        <v>b</v>
      </c>
      <c r="AB71" s="5" t="str">
        <f t="shared" si="4"/>
        <v>c</v>
      </c>
      <c r="AC71" s="5" t="str">
        <f t="shared" si="4"/>
        <v>b</v>
      </c>
      <c r="AD71" s="5" t="str">
        <f t="shared" si="4"/>
        <v>c</v>
      </c>
      <c r="AE71" s="5" t="str">
        <f t="shared" si="4"/>
        <v>b</v>
      </c>
      <c r="AF71" s="5" t="str">
        <f t="shared" si="4"/>
        <v>c</v>
      </c>
      <c r="AG71" s="5" t="str">
        <f t="shared" si="4"/>
        <v>b</v>
      </c>
      <c r="AH71" s="5" t="str">
        <f t="shared" si="4"/>
        <v>c</v>
      </c>
      <c r="AI71" s="5" t="str">
        <f t="shared" si="4"/>
        <v>b</v>
      </c>
      <c r="AJ71" s="5" t="str">
        <f t="shared" si="4"/>
        <v>c</v>
      </c>
      <c r="AK71" s="5" t="str">
        <f t="shared" si="4"/>
        <v>b</v>
      </c>
      <c r="AL71" s="5" t="str">
        <f t="shared" si="4"/>
        <v>c</v>
      </c>
      <c r="AM71" s="5" t="str">
        <f t="shared" si="4"/>
        <v>b</v>
      </c>
      <c r="AN71" s="5" t="str">
        <f t="shared" si="4"/>
        <v>c</v>
      </c>
      <c r="AO71" s="5" t="str">
        <f t="shared" si="4"/>
        <v>b</v>
      </c>
      <c r="AP71" s="5" t="str">
        <f t="shared" si="4"/>
        <v>c</v>
      </c>
      <c r="AQ71" s="5" t="str">
        <f t="shared" si="4"/>
        <v>b</v>
      </c>
      <c r="AR71" s="5" t="str">
        <f t="shared" si="4"/>
        <v>c</v>
      </c>
      <c r="AS71" s="5" t="str">
        <f t="shared" si="4"/>
        <v>b</v>
      </c>
      <c r="AT71" s="5" t="str">
        <f t="shared" si="4"/>
        <v>c</v>
      </c>
      <c r="AU71" s="5" t="str">
        <f t="shared" si="4"/>
        <v>b</v>
      </c>
      <c r="AV71" s="5" t="str">
        <f t="shared" si="4"/>
        <v>c</v>
      </c>
      <c r="AW71" s="5" t="str">
        <f t="shared" si="4"/>
        <v>b</v>
      </c>
      <c r="AX71" s="5" t="str">
        <f t="shared" si="4"/>
        <v>c</v>
      </c>
      <c r="AY71" s="5" t="str">
        <f t="shared" si="4"/>
        <v>b</v>
      </c>
      <c r="AZ71" s="5" t="str">
        <f t="shared" si="4"/>
        <v>c</v>
      </c>
      <c r="BA71" s="5" t="str">
        <f t="shared" si="4"/>
        <v>b</v>
      </c>
      <c r="BB71" s="5" t="str">
        <f t="shared" si="4"/>
        <v>c</v>
      </c>
      <c r="BC71" s="5" t="str">
        <f t="shared" si="4"/>
        <v>b</v>
      </c>
      <c r="BD71" s="5" t="str">
        <f t="shared" si="4"/>
        <v>c</v>
      </c>
      <c r="BE71" s="5" t="str">
        <f t="shared" si="4"/>
        <v>b</v>
      </c>
      <c r="BF71" s="5" t="str">
        <f t="shared" si="4"/>
        <v>c</v>
      </c>
      <c r="BG71" s="5" t="str">
        <f t="shared" si="4"/>
        <v>b</v>
      </c>
      <c r="BH71" s="5" t="str">
        <f t="shared" si="4"/>
        <v>c</v>
      </c>
      <c r="BI71" s="5" t="str">
        <f t="shared" si="4"/>
        <v>b</v>
      </c>
      <c r="BJ71" s="5" t="str">
        <f t="shared" si="4"/>
        <v>c</v>
      </c>
      <c r="BK71" s="5" t="str">
        <f t="shared" si="4"/>
        <v>b</v>
      </c>
      <c r="BL71" s="5" t="str">
        <f t="shared" si="4"/>
        <v>c</v>
      </c>
      <c r="BM71" s="5" t="str">
        <f t="shared" si="4"/>
        <v>b</v>
      </c>
      <c r="BN71" s="5" t="str">
        <f t="shared" si="4"/>
        <v>c</v>
      </c>
      <c r="BO71" s="5" t="str">
        <f t="shared" si="4"/>
        <v>b</v>
      </c>
      <c r="BP71" s="5" t="str">
        <f t="shared" si="4"/>
        <v>c</v>
      </c>
      <c r="BQ71" s="5" t="str">
        <f t="shared" si="4"/>
        <v>b</v>
      </c>
      <c r="BR71" s="5" t="str">
        <f t="shared" si="4"/>
        <v>c</v>
      </c>
      <c r="BS71" s="5" t="str">
        <f t="shared" si="4"/>
        <v>b</v>
      </c>
      <c r="BT71" s="5" t="str">
        <f t="shared" si="4"/>
        <v>c</v>
      </c>
      <c r="BU71" s="5" t="str">
        <f t="shared" ref="BU71:CV71" si="5">BS71</f>
        <v>b</v>
      </c>
      <c r="BV71" s="5" t="str">
        <f t="shared" si="5"/>
        <v>c</v>
      </c>
      <c r="BW71" s="5" t="str">
        <f t="shared" si="5"/>
        <v>b</v>
      </c>
      <c r="BX71" s="5" t="str">
        <f t="shared" si="5"/>
        <v>c</v>
      </c>
      <c r="BY71" s="5" t="str">
        <f t="shared" si="5"/>
        <v>b</v>
      </c>
      <c r="BZ71" s="5" t="str">
        <f t="shared" si="5"/>
        <v>c</v>
      </c>
      <c r="CA71" s="5" t="str">
        <f t="shared" si="5"/>
        <v>b</v>
      </c>
      <c r="CB71" s="5" t="str">
        <f t="shared" si="5"/>
        <v>c</v>
      </c>
      <c r="CC71" s="5" t="str">
        <f t="shared" si="5"/>
        <v>b</v>
      </c>
      <c r="CD71" s="5" t="str">
        <f t="shared" si="5"/>
        <v>c</v>
      </c>
      <c r="CE71" s="5" t="str">
        <f t="shared" si="5"/>
        <v>b</v>
      </c>
      <c r="CF71" s="5" t="str">
        <f t="shared" si="5"/>
        <v>c</v>
      </c>
      <c r="CG71" s="5" t="str">
        <f t="shared" si="5"/>
        <v>b</v>
      </c>
      <c r="CH71" s="5" t="str">
        <f t="shared" si="5"/>
        <v>c</v>
      </c>
      <c r="CI71" s="5" t="str">
        <f t="shared" si="5"/>
        <v>b</v>
      </c>
      <c r="CJ71" s="5" t="str">
        <f t="shared" si="5"/>
        <v>c</v>
      </c>
      <c r="CK71" s="5" t="str">
        <f t="shared" si="5"/>
        <v>b</v>
      </c>
      <c r="CL71" s="5" t="str">
        <f t="shared" si="5"/>
        <v>c</v>
      </c>
      <c r="CM71" s="5" t="str">
        <f t="shared" si="5"/>
        <v>b</v>
      </c>
      <c r="CN71" s="5" t="str">
        <f t="shared" si="5"/>
        <v>c</v>
      </c>
      <c r="CO71" s="5" t="str">
        <f t="shared" si="5"/>
        <v>b</v>
      </c>
      <c r="CP71" s="5" t="str">
        <f t="shared" si="5"/>
        <v>c</v>
      </c>
      <c r="CQ71" s="5" t="str">
        <f t="shared" si="5"/>
        <v>b</v>
      </c>
      <c r="CR71" s="5" t="str">
        <f t="shared" si="5"/>
        <v>c</v>
      </c>
      <c r="CS71" s="5" t="str">
        <f t="shared" si="5"/>
        <v>b</v>
      </c>
      <c r="CT71" s="5" t="str">
        <f t="shared" si="5"/>
        <v>c</v>
      </c>
      <c r="CU71" s="5" t="str">
        <f t="shared" si="5"/>
        <v>b</v>
      </c>
      <c r="CV71" s="5" t="str">
        <f t="shared" si="5"/>
        <v>c</v>
      </c>
      <c r="CW71" s="5" t="s">
        <v>240</v>
      </c>
      <c r="CX71" s="5" t="s">
        <v>235</v>
      </c>
      <c r="CY71" s="5" t="s">
        <v>236</v>
      </c>
      <c r="CZ71" s="5" t="s">
        <v>237</v>
      </c>
      <c r="DA71" s="5" t="s">
        <v>238</v>
      </c>
      <c r="DB71" s="5" t="s">
        <v>239</v>
      </c>
      <c r="DC71" s="5" t="s">
        <v>240</v>
      </c>
      <c r="DD71" s="5" t="s">
        <v>235</v>
      </c>
      <c r="DE71" s="5" t="s">
        <v>236</v>
      </c>
      <c r="DF71" s="5" t="s">
        <v>237</v>
      </c>
      <c r="DG71" s="5" t="s">
        <v>238</v>
      </c>
      <c r="DH71" s="5" t="s">
        <v>239</v>
      </c>
      <c r="DI71" s="5" t="s">
        <v>240</v>
      </c>
      <c r="DJ71" s="5" t="s">
        <v>235</v>
      </c>
      <c r="DK71" s="5" t="s">
        <v>236</v>
      </c>
      <c r="DL71" s="5" t="s">
        <v>237</v>
      </c>
      <c r="DM71" s="5" t="s">
        <v>238</v>
      </c>
      <c r="DN71" s="5" t="s">
        <v>239</v>
      </c>
      <c r="DO71" s="5" t="s">
        <v>240</v>
      </c>
      <c r="DP71" s="5" t="s">
        <v>235</v>
      </c>
      <c r="DQ71" s="5" t="s">
        <v>236</v>
      </c>
      <c r="DR71" s="5" t="s">
        <v>237</v>
      </c>
      <c r="DS71" s="5" t="s">
        <v>238</v>
      </c>
      <c r="DT71" s="5" t="s">
        <v>239</v>
      </c>
      <c r="DU71" s="5" t="s">
        <v>240</v>
      </c>
      <c r="DV71" s="5" t="s">
        <v>235</v>
      </c>
      <c r="DW71" s="5" t="s">
        <v>236</v>
      </c>
      <c r="DX71" s="5" t="s">
        <v>237</v>
      </c>
      <c r="DY71" s="5" t="s">
        <v>238</v>
      </c>
      <c r="DZ71" s="5" t="s">
        <v>239</v>
      </c>
      <c r="EA71" s="5" t="s">
        <v>240</v>
      </c>
      <c r="EB71" s="5" t="s">
        <v>235</v>
      </c>
      <c r="EC71" s="5" t="s">
        <v>236</v>
      </c>
      <c r="ED71" s="5" t="s">
        <v>237</v>
      </c>
      <c r="EE71" s="5" t="s">
        <v>238</v>
      </c>
      <c r="EF71" s="5" t="s">
        <v>239</v>
      </c>
      <c r="EG71" s="5" t="s">
        <v>240</v>
      </c>
      <c r="EH71" s="5" t="s">
        <v>235</v>
      </c>
      <c r="EI71" s="5" t="s">
        <v>236</v>
      </c>
      <c r="EJ71" s="5" t="s">
        <v>237</v>
      </c>
      <c r="EK71" s="5" t="s">
        <v>238</v>
      </c>
      <c r="EL71" s="5" t="s">
        <v>239</v>
      </c>
      <c r="EM71" s="5" t="s">
        <v>240</v>
      </c>
      <c r="EN71" s="5" t="s">
        <v>235</v>
      </c>
      <c r="EO71" s="5" t="s">
        <v>236</v>
      </c>
      <c r="EP71" s="5" t="s">
        <v>237</v>
      </c>
      <c r="EQ71" s="5" t="s">
        <v>238</v>
      </c>
      <c r="ER71" s="5" t="s">
        <v>239</v>
      </c>
      <c r="ES71" s="5" t="s">
        <v>240</v>
      </c>
      <c r="ET71" s="5" t="s">
        <v>235</v>
      </c>
      <c r="EU71" s="5" t="s">
        <v>236</v>
      </c>
      <c r="EV71" s="5" t="s">
        <v>237</v>
      </c>
      <c r="EW71" s="5" t="s">
        <v>238</v>
      </c>
      <c r="EX71" s="5" t="s">
        <v>239</v>
      </c>
      <c r="EY71" s="5" t="s">
        <v>240</v>
      </c>
      <c r="EZ71" s="5" t="s">
        <v>235</v>
      </c>
      <c r="FA71" s="5" t="s">
        <v>236</v>
      </c>
      <c r="FB71" s="5" t="s">
        <v>237</v>
      </c>
      <c r="FC71" s="5" t="s">
        <v>238</v>
      </c>
      <c r="FD71" s="5" t="s">
        <v>239</v>
      </c>
      <c r="FE71" s="5" t="s">
        <v>240</v>
      </c>
      <c r="FF71" s="5" t="s">
        <v>235</v>
      </c>
      <c r="FG71" s="5" t="s">
        <v>236</v>
      </c>
      <c r="FH71" s="5" t="s">
        <v>237</v>
      </c>
      <c r="FI71" s="5" t="s">
        <v>238</v>
      </c>
      <c r="FJ71" s="5" t="s">
        <v>239</v>
      </c>
      <c r="FK71" s="5" t="s">
        <v>240</v>
      </c>
      <c r="FL71" s="5" t="s">
        <v>235</v>
      </c>
      <c r="FM71" s="5" t="s">
        <v>236</v>
      </c>
      <c r="FN71" s="5" t="s">
        <v>237</v>
      </c>
      <c r="FO71" s="5" t="s">
        <v>238</v>
      </c>
      <c r="FP71" s="5" t="s">
        <v>239</v>
      </c>
      <c r="FQ71" s="5" t="s">
        <v>240</v>
      </c>
      <c r="FR71" s="5" t="s">
        <v>235</v>
      </c>
      <c r="FS71" s="5" t="s">
        <v>236</v>
      </c>
      <c r="FT71" s="5" t="s">
        <v>237</v>
      </c>
      <c r="FU71" s="5" t="s">
        <v>238</v>
      </c>
      <c r="FV71" s="5" t="s">
        <v>239</v>
      </c>
      <c r="FW71" s="5" t="s">
        <v>240</v>
      </c>
      <c r="FX71" s="5" t="s">
        <v>235</v>
      </c>
      <c r="FY71" s="5" t="s">
        <v>236</v>
      </c>
      <c r="FZ71" s="5" t="s">
        <v>237</v>
      </c>
      <c r="GA71" s="5" t="s">
        <v>238</v>
      </c>
      <c r="GB71" s="5" t="s">
        <v>239</v>
      </c>
      <c r="GC71" s="5" t="s">
        <v>240</v>
      </c>
      <c r="GD71" s="5" t="s">
        <v>235</v>
      </c>
      <c r="GE71" s="5" t="s">
        <v>236</v>
      </c>
      <c r="GF71" s="5" t="s">
        <v>237</v>
      </c>
      <c r="GG71" s="5" t="s">
        <v>238</v>
      </c>
      <c r="GH71" s="5" t="s">
        <v>239</v>
      </c>
      <c r="GI71" s="5" t="s">
        <v>240</v>
      </c>
      <c r="GJ71" s="5" t="s">
        <v>235</v>
      </c>
      <c r="GK71" s="5" t="s">
        <v>236</v>
      </c>
      <c r="GL71" s="5" t="s">
        <v>237</v>
      </c>
      <c r="GM71" s="5" t="s">
        <v>238</v>
      </c>
      <c r="GN71" s="5" t="s">
        <v>239</v>
      </c>
    </row>
    <row r="72" spans="1:196" s="5" customFormat="1" x14ac:dyDescent="0.25">
      <c r="A72" s="5">
        <v>66</v>
      </c>
      <c r="B72" s="5">
        <f>A72+1</f>
        <v>67</v>
      </c>
      <c r="C72" s="5">
        <f t="shared" ref="C72:D72" si="6">B72+1</f>
        <v>68</v>
      </c>
      <c r="D72" s="5">
        <f t="shared" si="6"/>
        <v>69</v>
      </c>
      <c r="E72" s="5">
        <v>2</v>
      </c>
      <c r="F72" s="5">
        <f>E72</f>
        <v>2</v>
      </c>
      <c r="G72" s="5">
        <f>E72+1</f>
        <v>3</v>
      </c>
      <c r="H72" s="5">
        <f>G72</f>
        <v>3</v>
      </c>
      <c r="I72" s="5">
        <f t="shared" ref="I72" si="7">G72+1</f>
        <v>4</v>
      </c>
      <c r="J72" s="5">
        <f t="shared" ref="J72" si="8">I72</f>
        <v>4</v>
      </c>
      <c r="K72" s="5">
        <f t="shared" ref="K72" si="9">I72+1</f>
        <v>5</v>
      </c>
      <c r="L72" s="5">
        <f t="shared" ref="L72" si="10">K72</f>
        <v>5</v>
      </c>
      <c r="M72" s="5">
        <f t="shared" ref="M72" si="11">K72+1</f>
        <v>6</v>
      </c>
      <c r="N72" s="5">
        <f t="shared" ref="N72" si="12">M72</f>
        <v>6</v>
      </c>
      <c r="O72" s="5">
        <f t="shared" ref="O72" si="13">M72+1</f>
        <v>7</v>
      </c>
      <c r="P72" s="5">
        <f t="shared" ref="P72" si="14">O72</f>
        <v>7</v>
      </c>
      <c r="Q72" s="5">
        <f t="shared" ref="Q72" si="15">O72+1</f>
        <v>8</v>
      </c>
      <c r="R72" s="5">
        <f t="shared" ref="R72" si="16">Q72</f>
        <v>8</v>
      </c>
      <c r="S72" s="5">
        <f t="shared" ref="S72" si="17">Q72+1</f>
        <v>9</v>
      </c>
      <c r="T72" s="5">
        <f t="shared" ref="T72" si="18">S72</f>
        <v>9</v>
      </c>
      <c r="U72" s="5">
        <f t="shared" ref="U72" si="19">S72+1</f>
        <v>10</v>
      </c>
      <c r="V72" s="5">
        <f t="shared" ref="V72" si="20">U72</f>
        <v>10</v>
      </c>
      <c r="W72" s="5">
        <f t="shared" ref="W72" si="21">U72+1</f>
        <v>11</v>
      </c>
      <c r="X72" s="5">
        <f t="shared" ref="X72" si="22">W72</f>
        <v>11</v>
      </c>
      <c r="Y72" s="5">
        <f t="shared" ref="Y72" si="23">W72+1</f>
        <v>12</v>
      </c>
      <c r="Z72" s="5">
        <f t="shared" ref="Z72" si="24">Y72</f>
        <v>12</v>
      </c>
      <c r="AA72" s="5">
        <f t="shared" ref="AA72" si="25">Y72+1</f>
        <v>13</v>
      </c>
      <c r="AB72" s="5">
        <f t="shared" ref="AB72" si="26">AA72</f>
        <v>13</v>
      </c>
      <c r="AC72" s="5">
        <f t="shared" ref="AC72" si="27">AA72+1</f>
        <v>14</v>
      </c>
      <c r="AD72" s="5">
        <f t="shared" ref="AD72" si="28">AC72</f>
        <v>14</v>
      </c>
      <c r="AE72" s="5">
        <f t="shared" ref="AE72" si="29">AC72+1</f>
        <v>15</v>
      </c>
      <c r="AF72" s="5">
        <f t="shared" ref="AF72" si="30">AE72</f>
        <v>15</v>
      </c>
      <c r="AG72" s="5">
        <f t="shared" ref="AG72" si="31">AE72+1</f>
        <v>16</v>
      </c>
      <c r="AH72" s="5">
        <f t="shared" ref="AH72" si="32">AG72</f>
        <v>16</v>
      </c>
      <c r="AI72" s="5">
        <f t="shared" ref="AI72" si="33">AG72+1</f>
        <v>17</v>
      </c>
      <c r="AJ72" s="5">
        <f t="shared" ref="AJ72" si="34">AI72</f>
        <v>17</v>
      </c>
      <c r="AK72" s="5">
        <f t="shared" ref="AK72" si="35">AI72+1</f>
        <v>18</v>
      </c>
      <c r="AL72" s="5">
        <f t="shared" ref="AL72" si="36">AK72</f>
        <v>18</v>
      </c>
      <c r="AM72" s="5">
        <f t="shared" ref="AM72" si="37">AK72+1</f>
        <v>19</v>
      </c>
      <c r="AN72" s="5">
        <f t="shared" ref="AN72" si="38">AM72</f>
        <v>19</v>
      </c>
      <c r="AO72" s="5">
        <f t="shared" ref="AO72" si="39">AM72+1</f>
        <v>20</v>
      </c>
      <c r="AP72" s="5">
        <f t="shared" ref="AP72" si="40">AO72</f>
        <v>20</v>
      </c>
      <c r="AQ72" s="5">
        <f t="shared" ref="AQ72" si="41">AO72+1</f>
        <v>21</v>
      </c>
      <c r="AR72" s="5">
        <f t="shared" ref="AR72" si="42">AQ72</f>
        <v>21</v>
      </c>
      <c r="AS72" s="5">
        <f t="shared" ref="AS72" si="43">AQ72+1</f>
        <v>22</v>
      </c>
      <c r="AT72" s="5">
        <f t="shared" ref="AT72" si="44">AS72</f>
        <v>22</v>
      </c>
      <c r="AU72" s="5">
        <f t="shared" ref="AU72" si="45">AS72+1</f>
        <v>23</v>
      </c>
      <c r="AV72" s="5">
        <f t="shared" ref="AV72" si="46">AU72</f>
        <v>23</v>
      </c>
      <c r="AW72" s="5">
        <f t="shared" ref="AW72" si="47">AU72+1</f>
        <v>24</v>
      </c>
      <c r="AX72" s="5">
        <f t="shared" ref="AX72" si="48">AW72</f>
        <v>24</v>
      </c>
      <c r="AY72" s="5">
        <f t="shared" ref="AY72" si="49">AW72+1</f>
        <v>25</v>
      </c>
      <c r="AZ72" s="5">
        <f t="shared" ref="AZ72" si="50">AY72</f>
        <v>25</v>
      </c>
      <c r="BA72" s="5">
        <f t="shared" ref="BA72" si="51">AY72+1</f>
        <v>26</v>
      </c>
      <c r="BB72" s="5">
        <f t="shared" ref="BB72" si="52">BA72</f>
        <v>26</v>
      </c>
      <c r="BC72" s="5">
        <f t="shared" ref="BC72" si="53">BA72+1</f>
        <v>27</v>
      </c>
      <c r="BD72" s="5">
        <f t="shared" ref="BD72" si="54">BC72</f>
        <v>27</v>
      </c>
      <c r="BE72" s="5">
        <f t="shared" ref="BE72" si="55">BC72+1</f>
        <v>28</v>
      </c>
      <c r="BF72" s="5">
        <f t="shared" ref="BF72" si="56">BE72</f>
        <v>28</v>
      </c>
      <c r="BG72" s="5">
        <f t="shared" ref="BG72" si="57">BE72+1</f>
        <v>29</v>
      </c>
      <c r="BH72" s="5">
        <f t="shared" ref="BH72" si="58">BG72</f>
        <v>29</v>
      </c>
      <c r="BI72" s="5">
        <f t="shared" ref="BI72" si="59">BG72+1</f>
        <v>30</v>
      </c>
      <c r="BJ72" s="5">
        <f t="shared" ref="BJ72" si="60">BI72</f>
        <v>30</v>
      </c>
      <c r="BK72" s="5">
        <f t="shared" ref="BK72" si="61">BI72+1</f>
        <v>31</v>
      </c>
      <c r="BL72" s="5">
        <f t="shared" ref="BL72" si="62">BK72</f>
        <v>31</v>
      </c>
      <c r="BM72" s="5">
        <f t="shared" ref="BM72" si="63">BK72+1</f>
        <v>32</v>
      </c>
      <c r="BN72" s="5">
        <f t="shared" ref="BN72" si="64">BM72</f>
        <v>32</v>
      </c>
      <c r="BO72" s="5">
        <f t="shared" ref="BO72" si="65">BM72+1</f>
        <v>33</v>
      </c>
      <c r="BP72" s="5">
        <f t="shared" ref="BP72" si="66">BO72</f>
        <v>33</v>
      </c>
      <c r="BQ72" s="5">
        <f t="shared" ref="BQ72" si="67">BO72+1</f>
        <v>34</v>
      </c>
      <c r="BR72" s="5">
        <f t="shared" ref="BR72" si="68">BQ72</f>
        <v>34</v>
      </c>
      <c r="BS72" s="5">
        <f t="shared" ref="BS72" si="69">BQ72+1</f>
        <v>35</v>
      </c>
      <c r="BT72" s="5">
        <f t="shared" ref="BT72" si="70">BS72</f>
        <v>35</v>
      </c>
      <c r="BU72" s="5">
        <f t="shared" ref="BU72" si="71">BS72+1</f>
        <v>36</v>
      </c>
      <c r="BV72" s="5">
        <f t="shared" ref="BV72" si="72">BU72</f>
        <v>36</v>
      </c>
      <c r="BW72" s="5">
        <f t="shared" ref="BW72" si="73">BU72+1</f>
        <v>37</v>
      </c>
      <c r="BX72" s="5">
        <f t="shared" ref="BX72" si="74">BW72</f>
        <v>37</v>
      </c>
      <c r="BY72" s="5">
        <f t="shared" ref="BY72" si="75">BW72+1</f>
        <v>38</v>
      </c>
      <c r="BZ72" s="5">
        <f t="shared" ref="BZ72" si="76">BY72</f>
        <v>38</v>
      </c>
      <c r="CA72" s="5">
        <f t="shared" ref="CA72" si="77">BY72+1</f>
        <v>39</v>
      </c>
      <c r="CB72" s="5">
        <f t="shared" ref="CB72" si="78">CA72</f>
        <v>39</v>
      </c>
      <c r="CC72" s="5">
        <f t="shared" ref="CC72" si="79">CA72+1</f>
        <v>40</v>
      </c>
      <c r="CD72" s="5">
        <f t="shared" ref="CD72" si="80">CC72</f>
        <v>40</v>
      </c>
      <c r="CE72" s="5">
        <f t="shared" ref="CE72" si="81">CC72+1</f>
        <v>41</v>
      </c>
      <c r="CF72" s="5">
        <f t="shared" ref="CF72" si="82">CE72</f>
        <v>41</v>
      </c>
      <c r="CG72" s="5">
        <f t="shared" ref="CG72" si="83">CE72+1</f>
        <v>42</v>
      </c>
      <c r="CH72" s="5">
        <f t="shared" ref="CH72" si="84">CG72</f>
        <v>42</v>
      </c>
      <c r="CI72" s="5">
        <f t="shared" ref="CI72" si="85">CG72+1</f>
        <v>43</v>
      </c>
      <c r="CJ72" s="5">
        <f t="shared" ref="CJ72" si="86">CI72</f>
        <v>43</v>
      </c>
      <c r="CK72" s="5">
        <f t="shared" ref="CK72" si="87">CI72+1</f>
        <v>44</v>
      </c>
      <c r="CL72" s="5">
        <f t="shared" ref="CL72" si="88">CK72</f>
        <v>44</v>
      </c>
      <c r="CM72" s="5">
        <f t="shared" ref="CM72" si="89">CK72+1</f>
        <v>45</v>
      </c>
      <c r="CN72" s="5">
        <f t="shared" ref="CN72" si="90">CM72</f>
        <v>45</v>
      </c>
      <c r="CO72" s="5">
        <f t="shared" ref="CO72" si="91">CM72+1</f>
        <v>46</v>
      </c>
      <c r="CP72" s="5">
        <f t="shared" ref="CP72" si="92">CO72</f>
        <v>46</v>
      </c>
      <c r="CQ72" s="5">
        <f t="shared" ref="CQ72" si="93">CO72+1</f>
        <v>47</v>
      </c>
      <c r="CR72" s="5">
        <f t="shared" ref="CR72" si="94">CQ72</f>
        <v>47</v>
      </c>
      <c r="CS72" s="5">
        <f t="shared" ref="CS72" si="95">CQ72+1</f>
        <v>48</v>
      </c>
      <c r="CT72" s="5">
        <f t="shared" ref="CT72" si="96">CS72</f>
        <v>48</v>
      </c>
      <c r="CU72" s="5">
        <f t="shared" ref="CU72" si="97">CS72+1</f>
        <v>49</v>
      </c>
      <c r="CV72" s="5">
        <f t="shared" ref="CV72" si="98">CU72</f>
        <v>49</v>
      </c>
      <c r="CW72" s="5">
        <f t="shared" ref="CW72" si="99">CU72+1</f>
        <v>50</v>
      </c>
      <c r="CX72" s="5">
        <f t="shared" ref="CX72" si="100">CV72+1</f>
        <v>50</v>
      </c>
      <c r="CY72" s="5">
        <f>CX72</f>
        <v>50</v>
      </c>
      <c r="CZ72" s="5">
        <f>CY72</f>
        <v>50</v>
      </c>
      <c r="DA72" s="5">
        <f>CZ72</f>
        <v>50</v>
      </c>
      <c r="DB72" s="5">
        <f>DA72</f>
        <v>50</v>
      </c>
      <c r="DC72" s="5">
        <f t="shared" ref="DC72" si="101">DA72+1</f>
        <v>51</v>
      </c>
      <c r="DD72" s="5">
        <f t="shared" ref="DD72" si="102">DB72+1</f>
        <v>51</v>
      </c>
      <c r="DE72" s="5">
        <f t="shared" ref="DE72:DH72" si="103">DD72</f>
        <v>51</v>
      </c>
      <c r="DF72" s="5">
        <f t="shared" si="103"/>
        <v>51</v>
      </c>
      <c r="DG72" s="5">
        <f t="shared" si="103"/>
        <v>51</v>
      </c>
      <c r="DH72" s="5">
        <f t="shared" si="103"/>
        <v>51</v>
      </c>
      <c r="DI72" s="5">
        <f t="shared" ref="DI72" si="104">DG72+1</f>
        <v>52</v>
      </c>
      <c r="DJ72" s="5">
        <f t="shared" ref="DJ72" si="105">DH72+1</f>
        <v>52</v>
      </c>
      <c r="DK72" s="5">
        <f t="shared" ref="DK72:DN72" si="106">DJ72</f>
        <v>52</v>
      </c>
      <c r="DL72" s="5">
        <f t="shared" si="106"/>
        <v>52</v>
      </c>
      <c r="DM72" s="5">
        <f t="shared" si="106"/>
        <v>52</v>
      </c>
      <c r="DN72" s="5">
        <f t="shared" si="106"/>
        <v>52</v>
      </c>
      <c r="DO72" s="5">
        <f t="shared" ref="DO72" si="107">DM72+1</f>
        <v>53</v>
      </c>
      <c r="DP72" s="5">
        <f t="shared" ref="DP72" si="108">DN72+1</f>
        <v>53</v>
      </c>
      <c r="DQ72" s="5">
        <f t="shared" ref="DQ72:DT72" si="109">DP72</f>
        <v>53</v>
      </c>
      <c r="DR72" s="5">
        <f t="shared" si="109"/>
        <v>53</v>
      </c>
      <c r="DS72" s="5">
        <f t="shared" si="109"/>
        <v>53</v>
      </c>
      <c r="DT72" s="5">
        <f t="shared" si="109"/>
        <v>53</v>
      </c>
      <c r="DU72" s="5">
        <f t="shared" ref="DU72" si="110">DS72+1</f>
        <v>54</v>
      </c>
      <c r="DV72" s="5">
        <f t="shared" ref="DV72" si="111">DT72+1</f>
        <v>54</v>
      </c>
      <c r="DW72" s="5">
        <f t="shared" ref="DW72:DZ72" si="112">DV72</f>
        <v>54</v>
      </c>
      <c r="DX72" s="5">
        <f t="shared" si="112"/>
        <v>54</v>
      </c>
      <c r="DY72" s="5">
        <f t="shared" si="112"/>
        <v>54</v>
      </c>
      <c r="DZ72" s="5">
        <f t="shared" si="112"/>
        <v>54</v>
      </c>
      <c r="EA72" s="5">
        <f t="shared" ref="EA72" si="113">DY72+1</f>
        <v>55</v>
      </c>
      <c r="EB72" s="5">
        <f t="shared" ref="EB72" si="114">DZ72+1</f>
        <v>55</v>
      </c>
      <c r="EC72" s="5">
        <f t="shared" ref="EC72:EF72" si="115">EB72</f>
        <v>55</v>
      </c>
      <c r="ED72" s="5">
        <f t="shared" si="115"/>
        <v>55</v>
      </c>
      <c r="EE72" s="5">
        <f t="shared" si="115"/>
        <v>55</v>
      </c>
      <c r="EF72" s="5">
        <f t="shared" si="115"/>
        <v>55</v>
      </c>
      <c r="EG72" s="5">
        <f t="shared" ref="EG72" si="116">EE72+1</f>
        <v>56</v>
      </c>
      <c r="EH72" s="5">
        <f t="shared" ref="EH72" si="117">EF72+1</f>
        <v>56</v>
      </c>
      <c r="EI72" s="5">
        <f t="shared" ref="EI72:EL72" si="118">EH72</f>
        <v>56</v>
      </c>
      <c r="EJ72" s="5">
        <f t="shared" si="118"/>
        <v>56</v>
      </c>
      <c r="EK72" s="5">
        <f t="shared" si="118"/>
        <v>56</v>
      </c>
      <c r="EL72" s="5">
        <f t="shared" si="118"/>
        <v>56</v>
      </c>
      <c r="EM72" s="5">
        <f t="shared" ref="EM72" si="119">EK72+1</f>
        <v>57</v>
      </c>
      <c r="EN72" s="5">
        <f t="shared" ref="EN72" si="120">EL72+1</f>
        <v>57</v>
      </c>
      <c r="EO72" s="5">
        <f t="shared" ref="EO72:ER72" si="121">EN72</f>
        <v>57</v>
      </c>
      <c r="EP72" s="5">
        <f t="shared" si="121"/>
        <v>57</v>
      </c>
      <c r="EQ72" s="5">
        <f t="shared" si="121"/>
        <v>57</v>
      </c>
      <c r="ER72" s="5">
        <f t="shared" si="121"/>
        <v>57</v>
      </c>
      <c r="ES72" s="5">
        <f t="shared" ref="ES72" si="122">EQ72+1</f>
        <v>58</v>
      </c>
      <c r="ET72" s="5">
        <f t="shared" ref="ET72" si="123">ER72+1</f>
        <v>58</v>
      </c>
      <c r="EU72" s="5">
        <f t="shared" ref="EU72:EX72" si="124">ET72</f>
        <v>58</v>
      </c>
      <c r="EV72" s="5">
        <f t="shared" si="124"/>
        <v>58</v>
      </c>
      <c r="EW72" s="5">
        <f t="shared" si="124"/>
        <v>58</v>
      </c>
      <c r="EX72" s="5">
        <f t="shared" si="124"/>
        <v>58</v>
      </c>
      <c r="EY72" s="5">
        <f t="shared" ref="EY72" si="125">EW72+1</f>
        <v>59</v>
      </c>
      <c r="EZ72" s="5">
        <f t="shared" ref="EZ72" si="126">EX72+1</f>
        <v>59</v>
      </c>
      <c r="FA72" s="5">
        <f t="shared" ref="FA72:FD72" si="127">EZ72</f>
        <v>59</v>
      </c>
      <c r="FB72" s="5">
        <f t="shared" si="127"/>
        <v>59</v>
      </c>
      <c r="FC72" s="5">
        <f t="shared" si="127"/>
        <v>59</v>
      </c>
      <c r="FD72" s="5">
        <f t="shared" si="127"/>
        <v>59</v>
      </c>
      <c r="FE72" s="5">
        <f t="shared" ref="FE72" si="128">FC72+1</f>
        <v>60</v>
      </c>
      <c r="FF72" s="5">
        <f t="shared" ref="FF72" si="129">FD72+1</f>
        <v>60</v>
      </c>
      <c r="FG72" s="5">
        <f t="shared" ref="FG72:FJ72" si="130">FF72</f>
        <v>60</v>
      </c>
      <c r="FH72" s="5">
        <f t="shared" si="130"/>
        <v>60</v>
      </c>
      <c r="FI72" s="5">
        <f t="shared" si="130"/>
        <v>60</v>
      </c>
      <c r="FJ72" s="5">
        <f t="shared" si="130"/>
        <v>60</v>
      </c>
      <c r="FK72" s="5">
        <f t="shared" ref="FK72" si="131">FI72+1</f>
        <v>61</v>
      </c>
      <c r="FL72" s="5">
        <f t="shared" ref="FL72" si="132">FJ72+1</f>
        <v>61</v>
      </c>
      <c r="FM72" s="5">
        <f t="shared" ref="FM72:FP72" si="133">FL72</f>
        <v>61</v>
      </c>
      <c r="FN72" s="5">
        <f t="shared" si="133"/>
        <v>61</v>
      </c>
      <c r="FO72" s="5">
        <f t="shared" si="133"/>
        <v>61</v>
      </c>
      <c r="FP72" s="5">
        <f t="shared" si="133"/>
        <v>61</v>
      </c>
      <c r="FQ72" s="5">
        <f t="shared" ref="FQ72" si="134">FO72+1</f>
        <v>62</v>
      </c>
      <c r="FR72" s="5">
        <f t="shared" ref="FR72" si="135">FP72+1</f>
        <v>62</v>
      </c>
      <c r="FS72" s="5">
        <f t="shared" ref="FS72:FV72" si="136">FR72</f>
        <v>62</v>
      </c>
      <c r="FT72" s="5">
        <f t="shared" si="136"/>
        <v>62</v>
      </c>
      <c r="FU72" s="5">
        <f t="shared" si="136"/>
        <v>62</v>
      </c>
      <c r="FV72" s="5">
        <f t="shared" si="136"/>
        <v>62</v>
      </c>
      <c r="FW72" s="5">
        <f t="shared" ref="FW72" si="137">FU72+1</f>
        <v>63</v>
      </c>
      <c r="FX72" s="5">
        <f t="shared" ref="FX72" si="138">FV72+1</f>
        <v>63</v>
      </c>
      <c r="FY72" s="5">
        <f t="shared" ref="FY72:GB72" si="139">FX72</f>
        <v>63</v>
      </c>
      <c r="FZ72" s="5">
        <f t="shared" si="139"/>
        <v>63</v>
      </c>
      <c r="GA72" s="5">
        <f t="shared" si="139"/>
        <v>63</v>
      </c>
      <c r="GB72" s="5">
        <f t="shared" si="139"/>
        <v>63</v>
      </c>
      <c r="GC72" s="5">
        <f t="shared" ref="GC72" si="140">GA72+1</f>
        <v>64</v>
      </c>
      <c r="GD72" s="5">
        <f t="shared" ref="GD72" si="141">GB72+1</f>
        <v>64</v>
      </c>
      <c r="GE72" s="5">
        <f t="shared" ref="GE72:GH72" si="142">GD72</f>
        <v>64</v>
      </c>
      <c r="GF72" s="5">
        <f t="shared" si="142"/>
        <v>64</v>
      </c>
      <c r="GG72" s="5">
        <f t="shared" si="142"/>
        <v>64</v>
      </c>
      <c r="GH72" s="5">
        <f t="shared" si="142"/>
        <v>64</v>
      </c>
      <c r="GI72" s="5">
        <f t="shared" ref="GI72" si="143">GG72+1</f>
        <v>65</v>
      </c>
      <c r="GJ72" s="5">
        <f t="shared" ref="GJ72" si="144">GH72+1</f>
        <v>65</v>
      </c>
      <c r="GK72" s="5">
        <f t="shared" ref="GK72:GN72" si="145">GJ72</f>
        <v>65</v>
      </c>
      <c r="GL72" s="5">
        <f t="shared" si="145"/>
        <v>65</v>
      </c>
      <c r="GM72" s="5">
        <f t="shared" si="145"/>
        <v>65</v>
      </c>
      <c r="GN72" s="5">
        <f t="shared" si="145"/>
        <v>65</v>
      </c>
    </row>
    <row r="73" spans="1:196" s="5" customFormat="1" x14ac:dyDescent="0.25">
      <c r="A73" s="5" t="str">
        <f t="shared" ref="A73:H73" si="146">CONCATENATE(A71,A72)</f>
        <v>a66</v>
      </c>
      <c r="B73" s="5" t="str">
        <f t="shared" si="146"/>
        <v>a67</v>
      </c>
      <c r="C73" s="5" t="str">
        <f t="shared" si="146"/>
        <v>a68</v>
      </c>
      <c r="D73" s="5" t="str">
        <f t="shared" si="146"/>
        <v>a69</v>
      </c>
      <c r="E73" s="5" t="str">
        <f t="shared" si="146"/>
        <v>b2</v>
      </c>
      <c r="F73" s="5" t="str">
        <f t="shared" si="146"/>
        <v>c2</v>
      </c>
      <c r="G73" s="5" t="str">
        <f t="shared" si="146"/>
        <v>b3</v>
      </c>
      <c r="H73" s="5" t="str">
        <f t="shared" si="146"/>
        <v>c3</v>
      </c>
      <c r="I73" s="5" t="str">
        <f t="shared" ref="I73" si="147">CONCATENATE(I71,I72)</f>
        <v>b4</v>
      </c>
      <c r="J73" s="5" t="str">
        <f t="shared" ref="J73" si="148">CONCATENATE(J71,J72)</f>
        <v>c4</v>
      </c>
      <c r="K73" s="5" t="str">
        <f t="shared" ref="K73" si="149">CONCATENATE(K71,K72)</f>
        <v>b5</v>
      </c>
      <c r="L73" s="5" t="str">
        <f t="shared" ref="L73" si="150">CONCATENATE(L71,L72)</f>
        <v>c5</v>
      </c>
      <c r="M73" s="5" t="str">
        <f t="shared" ref="M73" si="151">CONCATENATE(M71,M72)</f>
        <v>b6</v>
      </c>
      <c r="N73" s="5" t="str">
        <f t="shared" ref="N73" si="152">CONCATENATE(N71,N72)</f>
        <v>c6</v>
      </c>
      <c r="O73" s="5" t="str">
        <f t="shared" ref="O73" si="153">CONCATENATE(O71,O72)</f>
        <v>b7</v>
      </c>
      <c r="P73" s="5" t="str">
        <f t="shared" ref="P73" si="154">CONCATENATE(P71,P72)</f>
        <v>c7</v>
      </c>
      <c r="Q73" s="5" t="str">
        <f t="shared" ref="Q73" si="155">CONCATENATE(Q71,Q72)</f>
        <v>b8</v>
      </c>
      <c r="R73" s="5" t="str">
        <f t="shared" ref="R73" si="156">CONCATENATE(R71,R72)</f>
        <v>c8</v>
      </c>
      <c r="S73" s="5" t="str">
        <f t="shared" ref="S73" si="157">CONCATENATE(S71,S72)</f>
        <v>b9</v>
      </c>
      <c r="T73" s="5" t="str">
        <f t="shared" ref="T73" si="158">CONCATENATE(T71,T72)</f>
        <v>c9</v>
      </c>
      <c r="U73" s="5" t="str">
        <f t="shared" ref="U73" si="159">CONCATENATE(U71,U72)</f>
        <v>b10</v>
      </c>
      <c r="V73" s="5" t="str">
        <f t="shared" ref="V73" si="160">CONCATENATE(V71,V72)</f>
        <v>c10</v>
      </c>
      <c r="W73" s="5" t="str">
        <f t="shared" ref="W73" si="161">CONCATENATE(W71,W72)</f>
        <v>b11</v>
      </c>
      <c r="X73" s="5" t="str">
        <f t="shared" ref="X73" si="162">CONCATENATE(X71,X72)</f>
        <v>c11</v>
      </c>
      <c r="Y73" s="5" t="str">
        <f t="shared" ref="Y73" si="163">CONCATENATE(Y71,Y72)</f>
        <v>b12</v>
      </c>
      <c r="Z73" s="5" t="str">
        <f t="shared" ref="Z73" si="164">CONCATENATE(Z71,Z72)</f>
        <v>c12</v>
      </c>
      <c r="AA73" s="5" t="str">
        <f t="shared" ref="AA73" si="165">CONCATENATE(AA71,AA72)</f>
        <v>b13</v>
      </c>
      <c r="AB73" s="5" t="str">
        <f t="shared" ref="AB73" si="166">CONCATENATE(AB71,AB72)</f>
        <v>c13</v>
      </c>
      <c r="AC73" s="5" t="str">
        <f t="shared" ref="AC73" si="167">CONCATENATE(AC71,AC72)</f>
        <v>b14</v>
      </c>
      <c r="AD73" s="5" t="str">
        <f t="shared" ref="AD73" si="168">CONCATENATE(AD71,AD72)</f>
        <v>c14</v>
      </c>
      <c r="AE73" s="5" t="str">
        <f t="shared" ref="AE73" si="169">CONCATENATE(AE71,AE72)</f>
        <v>b15</v>
      </c>
      <c r="AF73" s="5" t="str">
        <f t="shared" ref="AF73" si="170">CONCATENATE(AF71,AF72)</f>
        <v>c15</v>
      </c>
      <c r="AG73" s="5" t="str">
        <f t="shared" ref="AG73" si="171">CONCATENATE(AG71,AG72)</f>
        <v>b16</v>
      </c>
      <c r="AH73" s="5" t="str">
        <f t="shared" ref="AH73" si="172">CONCATENATE(AH71,AH72)</f>
        <v>c16</v>
      </c>
      <c r="AI73" s="5" t="str">
        <f t="shared" ref="AI73" si="173">CONCATENATE(AI71,AI72)</f>
        <v>b17</v>
      </c>
      <c r="AJ73" s="5" t="str">
        <f t="shared" ref="AJ73" si="174">CONCATENATE(AJ71,AJ72)</f>
        <v>c17</v>
      </c>
      <c r="AK73" s="5" t="str">
        <f t="shared" ref="AK73" si="175">CONCATENATE(AK71,AK72)</f>
        <v>b18</v>
      </c>
      <c r="AL73" s="5" t="str">
        <f t="shared" ref="AL73" si="176">CONCATENATE(AL71,AL72)</f>
        <v>c18</v>
      </c>
      <c r="AM73" s="5" t="str">
        <f t="shared" ref="AM73" si="177">CONCATENATE(AM71,AM72)</f>
        <v>b19</v>
      </c>
      <c r="AN73" s="5" t="str">
        <f t="shared" ref="AN73" si="178">CONCATENATE(AN71,AN72)</f>
        <v>c19</v>
      </c>
      <c r="AO73" s="5" t="str">
        <f t="shared" ref="AO73" si="179">CONCATENATE(AO71,AO72)</f>
        <v>b20</v>
      </c>
      <c r="AP73" s="5" t="str">
        <f t="shared" ref="AP73" si="180">CONCATENATE(AP71,AP72)</f>
        <v>c20</v>
      </c>
      <c r="AQ73" s="5" t="str">
        <f t="shared" ref="AQ73" si="181">CONCATENATE(AQ71,AQ72)</f>
        <v>b21</v>
      </c>
      <c r="AR73" s="5" t="str">
        <f t="shared" ref="AR73" si="182">CONCATENATE(AR71,AR72)</f>
        <v>c21</v>
      </c>
      <c r="AS73" s="5" t="str">
        <f t="shared" ref="AS73" si="183">CONCATENATE(AS71,AS72)</f>
        <v>b22</v>
      </c>
      <c r="AT73" s="5" t="str">
        <f t="shared" ref="AT73" si="184">CONCATENATE(AT71,AT72)</f>
        <v>c22</v>
      </c>
      <c r="AU73" s="5" t="str">
        <f t="shared" ref="AU73" si="185">CONCATENATE(AU71,AU72)</f>
        <v>b23</v>
      </c>
      <c r="AV73" s="5" t="str">
        <f t="shared" ref="AV73" si="186">CONCATENATE(AV71,AV72)</f>
        <v>c23</v>
      </c>
      <c r="AW73" s="5" t="str">
        <f t="shared" ref="AW73" si="187">CONCATENATE(AW71,AW72)</f>
        <v>b24</v>
      </c>
      <c r="AX73" s="5" t="str">
        <f t="shared" ref="AX73" si="188">CONCATENATE(AX71,AX72)</f>
        <v>c24</v>
      </c>
      <c r="AY73" s="5" t="str">
        <f t="shared" ref="AY73" si="189">CONCATENATE(AY71,AY72)</f>
        <v>b25</v>
      </c>
      <c r="AZ73" s="5" t="str">
        <f t="shared" ref="AZ73" si="190">CONCATENATE(AZ71,AZ72)</f>
        <v>c25</v>
      </c>
      <c r="BA73" s="5" t="str">
        <f t="shared" ref="BA73" si="191">CONCATENATE(BA71,BA72)</f>
        <v>b26</v>
      </c>
      <c r="BB73" s="5" t="str">
        <f t="shared" ref="BB73" si="192">CONCATENATE(BB71,BB72)</f>
        <v>c26</v>
      </c>
      <c r="BC73" s="5" t="str">
        <f t="shared" ref="BC73" si="193">CONCATENATE(BC71,BC72)</f>
        <v>b27</v>
      </c>
      <c r="BD73" s="5" t="str">
        <f t="shared" ref="BD73" si="194">CONCATENATE(BD71,BD72)</f>
        <v>c27</v>
      </c>
      <c r="BE73" s="5" t="str">
        <f t="shared" ref="BE73" si="195">CONCATENATE(BE71,BE72)</f>
        <v>b28</v>
      </c>
      <c r="BF73" s="5" t="str">
        <f t="shared" ref="BF73" si="196">CONCATENATE(BF71,BF72)</f>
        <v>c28</v>
      </c>
      <c r="BG73" s="5" t="str">
        <f t="shared" ref="BG73" si="197">CONCATENATE(BG71,BG72)</f>
        <v>b29</v>
      </c>
      <c r="BH73" s="5" t="str">
        <f t="shared" ref="BH73" si="198">CONCATENATE(BH71,BH72)</f>
        <v>c29</v>
      </c>
      <c r="BI73" s="5" t="str">
        <f t="shared" ref="BI73" si="199">CONCATENATE(BI71,BI72)</f>
        <v>b30</v>
      </c>
      <c r="BJ73" s="5" t="str">
        <f t="shared" ref="BJ73" si="200">CONCATENATE(BJ71,BJ72)</f>
        <v>c30</v>
      </c>
      <c r="BK73" s="5" t="str">
        <f t="shared" ref="BK73" si="201">CONCATENATE(BK71,BK72)</f>
        <v>b31</v>
      </c>
      <c r="BL73" s="5" t="str">
        <f t="shared" ref="BL73" si="202">CONCATENATE(BL71,BL72)</f>
        <v>c31</v>
      </c>
      <c r="BM73" s="5" t="str">
        <f t="shared" ref="BM73" si="203">CONCATENATE(BM71,BM72)</f>
        <v>b32</v>
      </c>
      <c r="BN73" s="5" t="str">
        <f t="shared" ref="BN73" si="204">CONCATENATE(BN71,BN72)</f>
        <v>c32</v>
      </c>
      <c r="BO73" s="5" t="str">
        <f t="shared" ref="BO73" si="205">CONCATENATE(BO71,BO72)</f>
        <v>b33</v>
      </c>
      <c r="BP73" s="5" t="str">
        <f t="shared" ref="BP73" si="206">CONCATENATE(BP71,BP72)</f>
        <v>c33</v>
      </c>
      <c r="BQ73" s="5" t="str">
        <f t="shared" ref="BQ73" si="207">CONCATENATE(BQ71,BQ72)</f>
        <v>b34</v>
      </c>
      <c r="BR73" s="5" t="str">
        <f t="shared" ref="BR73" si="208">CONCATENATE(BR71,BR72)</f>
        <v>c34</v>
      </c>
      <c r="BS73" s="5" t="str">
        <f t="shared" ref="BS73" si="209">CONCATENATE(BS71,BS72)</f>
        <v>b35</v>
      </c>
      <c r="BT73" s="5" t="str">
        <f t="shared" ref="BT73" si="210">CONCATENATE(BT71,BT72)</f>
        <v>c35</v>
      </c>
      <c r="BU73" s="5" t="str">
        <f t="shared" ref="BU73" si="211">CONCATENATE(BU71,BU72)</f>
        <v>b36</v>
      </c>
      <c r="BV73" s="5" t="str">
        <f t="shared" ref="BV73" si="212">CONCATENATE(BV71,BV72)</f>
        <v>c36</v>
      </c>
      <c r="BW73" s="5" t="str">
        <f t="shared" ref="BW73" si="213">CONCATENATE(BW71,BW72)</f>
        <v>b37</v>
      </c>
      <c r="BX73" s="5" t="str">
        <f t="shared" ref="BX73" si="214">CONCATENATE(BX71,BX72)</f>
        <v>c37</v>
      </c>
      <c r="BY73" s="5" t="str">
        <f t="shared" ref="BY73" si="215">CONCATENATE(BY71,BY72)</f>
        <v>b38</v>
      </c>
      <c r="BZ73" s="5" t="str">
        <f t="shared" ref="BZ73" si="216">CONCATENATE(BZ71,BZ72)</f>
        <v>c38</v>
      </c>
      <c r="CA73" s="5" t="str">
        <f t="shared" ref="CA73" si="217">CONCATENATE(CA71,CA72)</f>
        <v>b39</v>
      </c>
      <c r="CB73" s="5" t="str">
        <f t="shared" ref="CB73" si="218">CONCATENATE(CB71,CB72)</f>
        <v>c39</v>
      </c>
      <c r="CC73" s="5" t="str">
        <f t="shared" ref="CC73" si="219">CONCATENATE(CC71,CC72)</f>
        <v>b40</v>
      </c>
      <c r="CD73" s="5" t="str">
        <f t="shared" ref="CD73" si="220">CONCATENATE(CD71,CD72)</f>
        <v>c40</v>
      </c>
      <c r="CE73" s="5" t="str">
        <f t="shared" ref="CE73" si="221">CONCATENATE(CE71,CE72)</f>
        <v>b41</v>
      </c>
      <c r="CF73" s="5" t="str">
        <f t="shared" ref="CF73" si="222">CONCATENATE(CF71,CF72)</f>
        <v>c41</v>
      </c>
      <c r="CG73" s="5" t="str">
        <f t="shared" ref="CG73" si="223">CONCATENATE(CG71,CG72)</f>
        <v>b42</v>
      </c>
      <c r="CH73" s="5" t="str">
        <f t="shared" ref="CH73" si="224">CONCATENATE(CH71,CH72)</f>
        <v>c42</v>
      </c>
      <c r="CI73" s="5" t="str">
        <f t="shared" ref="CI73" si="225">CONCATENATE(CI71,CI72)</f>
        <v>b43</v>
      </c>
      <c r="CJ73" s="5" t="str">
        <f t="shared" ref="CJ73" si="226">CONCATENATE(CJ71,CJ72)</f>
        <v>c43</v>
      </c>
      <c r="CK73" s="5" t="str">
        <f t="shared" ref="CK73" si="227">CONCATENATE(CK71,CK72)</f>
        <v>b44</v>
      </c>
      <c r="CL73" s="5" t="str">
        <f t="shared" ref="CL73" si="228">CONCATENATE(CL71,CL72)</f>
        <v>c44</v>
      </c>
      <c r="CM73" s="5" t="str">
        <f t="shared" ref="CM73" si="229">CONCATENATE(CM71,CM72)</f>
        <v>b45</v>
      </c>
      <c r="CN73" s="5" t="str">
        <f t="shared" ref="CN73" si="230">CONCATENATE(CN71,CN72)</f>
        <v>c45</v>
      </c>
      <c r="CO73" s="5" t="str">
        <f t="shared" ref="CO73" si="231">CONCATENATE(CO71,CO72)</f>
        <v>b46</v>
      </c>
      <c r="CP73" s="5" t="str">
        <f t="shared" ref="CP73" si="232">CONCATENATE(CP71,CP72)</f>
        <v>c46</v>
      </c>
      <c r="CQ73" s="5" t="str">
        <f t="shared" ref="CQ73" si="233">CONCATENATE(CQ71,CQ72)</f>
        <v>b47</v>
      </c>
      <c r="CR73" s="5" t="str">
        <f t="shared" ref="CR73" si="234">CONCATENATE(CR71,CR72)</f>
        <v>c47</v>
      </c>
      <c r="CS73" s="5" t="str">
        <f t="shared" ref="CS73" si="235">CONCATENATE(CS71,CS72)</f>
        <v>b48</v>
      </c>
      <c r="CT73" s="5" t="str">
        <f t="shared" ref="CT73" si="236">CONCATENATE(CT71,CT72)</f>
        <v>c48</v>
      </c>
      <c r="CU73" s="5" t="str">
        <f t="shared" ref="CU73" si="237">CONCATENATE(CU71,CU72)</f>
        <v>b49</v>
      </c>
      <c r="CV73" s="5" t="str">
        <f t="shared" ref="CV73" si="238">CONCATENATE(CV71,CV72)</f>
        <v>c49</v>
      </c>
      <c r="CW73" s="5" t="str">
        <f t="shared" ref="CW73:EO73" si="239">CONCATENATE(CW71,CW72)</f>
        <v>a50</v>
      </c>
      <c r="CX73" s="5" t="str">
        <f t="shared" si="239"/>
        <v>b50</v>
      </c>
      <c r="CY73" s="5" t="str">
        <f t="shared" si="239"/>
        <v>c50</v>
      </c>
      <c r="CZ73" s="5" t="str">
        <f t="shared" si="239"/>
        <v>d50</v>
      </c>
      <c r="DA73" s="5" t="str">
        <f t="shared" si="239"/>
        <v>e50</v>
      </c>
      <c r="DB73" s="5" t="str">
        <f t="shared" si="239"/>
        <v>f50</v>
      </c>
      <c r="DC73" s="5" t="str">
        <f t="shared" si="239"/>
        <v>a51</v>
      </c>
      <c r="DD73" s="5" t="str">
        <f t="shared" si="239"/>
        <v>b51</v>
      </c>
      <c r="DE73" s="5" t="str">
        <f t="shared" si="239"/>
        <v>c51</v>
      </c>
      <c r="DF73" s="5" t="str">
        <f t="shared" si="239"/>
        <v>d51</v>
      </c>
      <c r="DG73" s="5" t="str">
        <f t="shared" si="239"/>
        <v>e51</v>
      </c>
      <c r="DH73" s="5" t="str">
        <f t="shared" si="239"/>
        <v>f51</v>
      </c>
      <c r="DI73" s="5" t="str">
        <f t="shared" si="239"/>
        <v>a52</v>
      </c>
      <c r="DJ73" s="5" t="str">
        <f t="shared" si="239"/>
        <v>b52</v>
      </c>
      <c r="DK73" s="5" t="str">
        <f t="shared" si="239"/>
        <v>c52</v>
      </c>
      <c r="DL73" s="5" t="str">
        <f t="shared" si="239"/>
        <v>d52</v>
      </c>
      <c r="DM73" s="5" t="str">
        <f t="shared" si="239"/>
        <v>e52</v>
      </c>
      <c r="DN73" s="5" t="str">
        <f t="shared" si="239"/>
        <v>f52</v>
      </c>
      <c r="DO73" s="5" t="str">
        <f t="shared" si="239"/>
        <v>a53</v>
      </c>
      <c r="DP73" s="5" t="str">
        <f t="shared" si="239"/>
        <v>b53</v>
      </c>
      <c r="DQ73" s="5" t="str">
        <f t="shared" si="239"/>
        <v>c53</v>
      </c>
      <c r="DR73" s="5" t="str">
        <f t="shared" si="239"/>
        <v>d53</v>
      </c>
      <c r="DS73" s="5" t="str">
        <f t="shared" si="239"/>
        <v>e53</v>
      </c>
      <c r="DT73" s="5" t="str">
        <f t="shared" si="239"/>
        <v>f53</v>
      </c>
      <c r="DU73" s="5" t="str">
        <f t="shared" si="239"/>
        <v>a54</v>
      </c>
      <c r="DV73" s="5" t="str">
        <f t="shared" si="239"/>
        <v>b54</v>
      </c>
      <c r="DW73" s="5" t="str">
        <f t="shared" si="239"/>
        <v>c54</v>
      </c>
      <c r="DX73" s="5" t="str">
        <f t="shared" si="239"/>
        <v>d54</v>
      </c>
      <c r="DY73" s="5" t="str">
        <f t="shared" si="239"/>
        <v>e54</v>
      </c>
      <c r="DZ73" s="5" t="str">
        <f t="shared" si="239"/>
        <v>f54</v>
      </c>
      <c r="EA73" s="5" t="str">
        <f t="shared" si="239"/>
        <v>a55</v>
      </c>
      <c r="EB73" s="5" t="str">
        <f t="shared" si="239"/>
        <v>b55</v>
      </c>
      <c r="EC73" s="5" t="str">
        <f t="shared" si="239"/>
        <v>c55</v>
      </c>
      <c r="ED73" s="5" t="str">
        <f t="shared" si="239"/>
        <v>d55</v>
      </c>
      <c r="EE73" s="5" t="str">
        <f t="shared" si="239"/>
        <v>e55</v>
      </c>
      <c r="EF73" s="5" t="str">
        <f t="shared" si="239"/>
        <v>f55</v>
      </c>
      <c r="EG73" s="5" t="str">
        <f t="shared" si="239"/>
        <v>a56</v>
      </c>
      <c r="EH73" s="5" t="str">
        <f t="shared" si="239"/>
        <v>b56</v>
      </c>
      <c r="EI73" s="5" t="str">
        <f t="shared" si="239"/>
        <v>c56</v>
      </c>
      <c r="EJ73" s="5" t="str">
        <f t="shared" si="239"/>
        <v>d56</v>
      </c>
      <c r="EK73" s="5" t="str">
        <f t="shared" si="239"/>
        <v>e56</v>
      </c>
      <c r="EL73" s="5" t="str">
        <f t="shared" si="239"/>
        <v>f56</v>
      </c>
      <c r="EM73" s="5" t="str">
        <f t="shared" si="239"/>
        <v>a57</v>
      </c>
      <c r="EN73" s="5" t="str">
        <f t="shared" si="239"/>
        <v>b57</v>
      </c>
      <c r="EO73" s="5" t="str">
        <f t="shared" si="239"/>
        <v>c57</v>
      </c>
      <c r="EP73" s="5" t="str">
        <f t="shared" ref="EP73:GN73" si="240">CONCATENATE(EP71,EP72)</f>
        <v>d57</v>
      </c>
      <c r="EQ73" s="5" t="str">
        <f t="shared" si="240"/>
        <v>e57</v>
      </c>
      <c r="ER73" s="5" t="str">
        <f t="shared" si="240"/>
        <v>f57</v>
      </c>
      <c r="ES73" s="5" t="str">
        <f t="shared" si="240"/>
        <v>a58</v>
      </c>
      <c r="ET73" s="5" t="str">
        <f t="shared" si="240"/>
        <v>b58</v>
      </c>
      <c r="EU73" s="5" t="str">
        <f t="shared" si="240"/>
        <v>c58</v>
      </c>
      <c r="EV73" s="5" t="str">
        <f t="shared" si="240"/>
        <v>d58</v>
      </c>
      <c r="EW73" s="5" t="str">
        <f t="shared" si="240"/>
        <v>e58</v>
      </c>
      <c r="EX73" s="5" t="str">
        <f t="shared" si="240"/>
        <v>f58</v>
      </c>
      <c r="EY73" s="5" t="str">
        <f t="shared" si="240"/>
        <v>a59</v>
      </c>
      <c r="EZ73" s="5" t="str">
        <f t="shared" si="240"/>
        <v>b59</v>
      </c>
      <c r="FA73" s="5" t="str">
        <f t="shared" si="240"/>
        <v>c59</v>
      </c>
      <c r="FB73" s="5" t="str">
        <f t="shared" si="240"/>
        <v>d59</v>
      </c>
      <c r="FC73" s="5" t="str">
        <f t="shared" si="240"/>
        <v>e59</v>
      </c>
      <c r="FD73" s="5" t="str">
        <f t="shared" si="240"/>
        <v>f59</v>
      </c>
      <c r="FE73" s="5" t="str">
        <f t="shared" si="240"/>
        <v>a60</v>
      </c>
      <c r="FF73" s="5" t="str">
        <f t="shared" si="240"/>
        <v>b60</v>
      </c>
      <c r="FG73" s="5" t="str">
        <f t="shared" si="240"/>
        <v>c60</v>
      </c>
      <c r="FH73" s="5" t="str">
        <f t="shared" si="240"/>
        <v>d60</v>
      </c>
      <c r="FI73" s="5" t="str">
        <f t="shared" si="240"/>
        <v>e60</v>
      </c>
      <c r="FJ73" s="5" t="str">
        <f t="shared" si="240"/>
        <v>f60</v>
      </c>
      <c r="FK73" s="5" t="str">
        <f t="shared" si="240"/>
        <v>a61</v>
      </c>
      <c r="FL73" s="5" t="str">
        <f t="shared" si="240"/>
        <v>b61</v>
      </c>
      <c r="FM73" s="5" t="str">
        <f t="shared" si="240"/>
        <v>c61</v>
      </c>
      <c r="FN73" s="5" t="str">
        <f t="shared" si="240"/>
        <v>d61</v>
      </c>
      <c r="FO73" s="5" t="str">
        <f t="shared" si="240"/>
        <v>e61</v>
      </c>
      <c r="FP73" s="5" t="str">
        <f t="shared" si="240"/>
        <v>f61</v>
      </c>
      <c r="FQ73" s="5" t="str">
        <f t="shared" si="240"/>
        <v>a62</v>
      </c>
      <c r="FR73" s="5" t="str">
        <f t="shared" si="240"/>
        <v>b62</v>
      </c>
      <c r="FS73" s="5" t="str">
        <f t="shared" si="240"/>
        <v>c62</v>
      </c>
      <c r="FT73" s="5" t="str">
        <f t="shared" si="240"/>
        <v>d62</v>
      </c>
      <c r="FU73" s="5" t="str">
        <f t="shared" si="240"/>
        <v>e62</v>
      </c>
      <c r="FV73" s="5" t="str">
        <f t="shared" si="240"/>
        <v>f62</v>
      </c>
      <c r="FW73" s="5" t="str">
        <f t="shared" si="240"/>
        <v>a63</v>
      </c>
      <c r="FX73" s="5" t="str">
        <f t="shared" si="240"/>
        <v>b63</v>
      </c>
      <c r="FY73" s="5" t="str">
        <f t="shared" si="240"/>
        <v>c63</v>
      </c>
      <c r="FZ73" s="5" t="str">
        <f t="shared" si="240"/>
        <v>d63</v>
      </c>
      <c r="GA73" s="5" t="str">
        <f t="shared" si="240"/>
        <v>e63</v>
      </c>
      <c r="GB73" s="5" t="str">
        <f t="shared" si="240"/>
        <v>f63</v>
      </c>
      <c r="GC73" s="5" t="str">
        <f t="shared" si="240"/>
        <v>a64</v>
      </c>
      <c r="GD73" s="5" t="str">
        <f t="shared" si="240"/>
        <v>b64</v>
      </c>
      <c r="GE73" s="5" t="str">
        <f t="shared" si="240"/>
        <v>c64</v>
      </c>
      <c r="GF73" s="5" t="str">
        <f t="shared" si="240"/>
        <v>d64</v>
      </c>
      <c r="GG73" s="5" t="str">
        <f t="shared" si="240"/>
        <v>e64</v>
      </c>
      <c r="GH73" s="5" t="str">
        <f t="shared" si="240"/>
        <v>f64</v>
      </c>
      <c r="GI73" s="5" t="str">
        <f t="shared" si="240"/>
        <v>a65</v>
      </c>
      <c r="GJ73" s="5" t="str">
        <f t="shared" si="240"/>
        <v>b65</v>
      </c>
      <c r="GK73" s="5" t="str">
        <f t="shared" si="240"/>
        <v>c65</v>
      </c>
      <c r="GL73" s="5" t="str">
        <f t="shared" si="240"/>
        <v>d65</v>
      </c>
      <c r="GM73" s="5" t="str">
        <f t="shared" si="240"/>
        <v>e65</v>
      </c>
      <c r="GN73" s="5" t="str">
        <f t="shared" si="240"/>
        <v>f65</v>
      </c>
    </row>
    <row r="74" spans="1:196" x14ac:dyDescent="0.25">
      <c r="A74" t="e">
        <f ca="1">INDIRECT(A73,TRUE)</f>
        <v>#REF!</v>
      </c>
      <c r="B74" t="e">
        <f t="shared" ref="B74:BM74" ca="1" si="241">INDIRECT(B73,TRUE)</f>
        <v>#REF!</v>
      </c>
      <c r="C74" t="e">
        <f t="shared" ca="1" si="241"/>
        <v>#REF!</v>
      </c>
      <c r="D74" t="e">
        <f t="shared" ca="1" si="241"/>
        <v>#REF!</v>
      </c>
      <c r="E74">
        <f t="shared" ca="1" si="241"/>
        <v>0</v>
      </c>
      <c r="F74">
        <f t="shared" ca="1" si="241"/>
        <v>0</v>
      </c>
      <c r="G74">
        <f t="shared" ca="1" si="241"/>
        <v>0</v>
      </c>
      <c r="H74">
        <f t="shared" ca="1" si="241"/>
        <v>0</v>
      </c>
      <c r="I74">
        <f t="shared" ca="1" si="241"/>
        <v>0</v>
      </c>
      <c r="J74">
        <f t="shared" ca="1" si="241"/>
        <v>0</v>
      </c>
      <c r="K74">
        <f t="shared" ca="1" si="241"/>
        <v>0</v>
      </c>
      <c r="L74">
        <f t="shared" ca="1" si="241"/>
        <v>0</v>
      </c>
      <c r="M74">
        <f t="shared" ca="1" si="241"/>
        <v>0</v>
      </c>
      <c r="N74">
        <f t="shared" ca="1" si="241"/>
        <v>0</v>
      </c>
      <c r="O74">
        <f t="shared" ca="1" si="241"/>
        <v>0</v>
      </c>
      <c r="P74">
        <f t="shared" ca="1" si="241"/>
        <v>0</v>
      </c>
      <c r="Q74">
        <f t="shared" ca="1" si="241"/>
        <v>0</v>
      </c>
      <c r="R74">
        <f t="shared" ca="1" si="241"/>
        <v>0</v>
      </c>
      <c r="S74">
        <f t="shared" ca="1" si="241"/>
        <v>0</v>
      </c>
      <c r="T74">
        <f t="shared" ca="1" si="241"/>
        <v>0</v>
      </c>
      <c r="U74">
        <f t="shared" ca="1" si="241"/>
        <v>0</v>
      </c>
      <c r="V74">
        <f t="shared" ca="1" si="241"/>
        <v>0</v>
      </c>
      <c r="W74">
        <f t="shared" ca="1" si="241"/>
        <v>0</v>
      </c>
      <c r="X74">
        <f t="shared" ca="1" si="241"/>
        <v>0</v>
      </c>
      <c r="Y74">
        <f t="shared" ca="1" si="241"/>
        <v>0</v>
      </c>
      <c r="Z74">
        <f t="shared" ca="1" si="241"/>
        <v>0</v>
      </c>
      <c r="AA74">
        <f t="shared" ca="1" si="241"/>
        <v>0</v>
      </c>
      <c r="AB74">
        <f t="shared" ca="1" si="241"/>
        <v>0</v>
      </c>
      <c r="AC74">
        <f t="shared" ca="1" si="241"/>
        <v>0</v>
      </c>
      <c r="AD74">
        <f t="shared" ca="1" si="241"/>
        <v>0</v>
      </c>
      <c r="AE74">
        <f t="shared" ca="1" si="241"/>
        <v>0</v>
      </c>
      <c r="AF74">
        <f t="shared" ca="1" si="241"/>
        <v>0</v>
      </c>
      <c r="AG74">
        <f t="shared" ca="1" si="241"/>
        <v>0</v>
      </c>
      <c r="AH74">
        <f t="shared" ca="1" si="241"/>
        <v>0</v>
      </c>
      <c r="AI74">
        <f t="shared" ca="1" si="241"/>
        <v>0</v>
      </c>
      <c r="AJ74">
        <f t="shared" ca="1" si="241"/>
        <v>0</v>
      </c>
      <c r="AK74">
        <f t="shared" ca="1" si="241"/>
        <v>0</v>
      </c>
      <c r="AL74">
        <f t="shared" ca="1" si="241"/>
        <v>0</v>
      </c>
      <c r="AM74">
        <f t="shared" ca="1" si="241"/>
        <v>0</v>
      </c>
      <c r="AN74">
        <f t="shared" ca="1" si="241"/>
        <v>0</v>
      </c>
      <c r="AO74">
        <f t="shared" ca="1" si="241"/>
        <v>0</v>
      </c>
      <c r="AP74">
        <f t="shared" ca="1" si="241"/>
        <v>0</v>
      </c>
      <c r="AQ74">
        <f t="shared" ca="1" si="241"/>
        <v>0</v>
      </c>
      <c r="AR74">
        <f t="shared" ca="1" si="241"/>
        <v>0</v>
      </c>
      <c r="AS74">
        <f t="shared" ca="1" si="241"/>
        <v>0</v>
      </c>
      <c r="AT74">
        <f t="shared" ca="1" si="241"/>
        <v>0</v>
      </c>
      <c r="AU74">
        <f t="shared" ca="1" si="241"/>
        <v>0</v>
      </c>
      <c r="AV74">
        <f t="shared" ca="1" si="241"/>
        <v>0</v>
      </c>
      <c r="AW74">
        <f t="shared" ca="1" si="241"/>
        <v>0</v>
      </c>
      <c r="AX74">
        <f t="shared" ca="1" si="241"/>
        <v>0</v>
      </c>
      <c r="AY74">
        <f t="shared" ca="1" si="241"/>
        <v>0</v>
      </c>
      <c r="AZ74">
        <f t="shared" ca="1" si="241"/>
        <v>0</v>
      </c>
      <c r="BA74">
        <f t="shared" ca="1" si="241"/>
        <v>0</v>
      </c>
      <c r="BB74">
        <f t="shared" ca="1" si="241"/>
        <v>0</v>
      </c>
      <c r="BC74">
        <f t="shared" ca="1" si="241"/>
        <v>0</v>
      </c>
      <c r="BD74">
        <f t="shared" ca="1" si="241"/>
        <v>0</v>
      </c>
      <c r="BE74">
        <f t="shared" ca="1" si="241"/>
        <v>0</v>
      </c>
      <c r="BF74">
        <f t="shared" ca="1" si="241"/>
        <v>0</v>
      </c>
      <c r="BG74">
        <f t="shared" ca="1" si="241"/>
        <v>0</v>
      </c>
      <c r="BH74">
        <f t="shared" ca="1" si="241"/>
        <v>0</v>
      </c>
      <c r="BI74">
        <f t="shared" ca="1" si="241"/>
        <v>0</v>
      </c>
      <c r="BJ74">
        <f t="shared" ca="1" si="241"/>
        <v>0</v>
      </c>
      <c r="BK74">
        <f t="shared" ca="1" si="241"/>
        <v>0</v>
      </c>
      <c r="BL74">
        <f t="shared" ca="1" si="241"/>
        <v>0</v>
      </c>
      <c r="BM74">
        <f t="shared" ca="1" si="241"/>
        <v>0</v>
      </c>
      <c r="BN74">
        <f t="shared" ref="BN74:DY74" ca="1" si="242">INDIRECT(BN73,TRUE)</f>
        <v>0</v>
      </c>
      <c r="BO74">
        <f t="shared" ca="1" si="242"/>
        <v>0</v>
      </c>
      <c r="BP74">
        <f t="shared" ca="1" si="242"/>
        <v>0</v>
      </c>
      <c r="BQ74">
        <f t="shared" ca="1" si="242"/>
        <v>0</v>
      </c>
      <c r="BR74">
        <f t="shared" ca="1" si="242"/>
        <v>0</v>
      </c>
      <c r="BS74">
        <f t="shared" ca="1" si="242"/>
        <v>0</v>
      </c>
      <c r="BT74">
        <f t="shared" ca="1" si="242"/>
        <v>0</v>
      </c>
      <c r="BU74">
        <f t="shared" ca="1" si="242"/>
        <v>0</v>
      </c>
      <c r="BV74">
        <f t="shared" ca="1" si="242"/>
        <v>0</v>
      </c>
      <c r="BW74">
        <f t="shared" ca="1" si="242"/>
        <v>0</v>
      </c>
      <c r="BX74">
        <f t="shared" ca="1" si="242"/>
        <v>0</v>
      </c>
      <c r="BY74">
        <f t="shared" ca="1" si="242"/>
        <v>0</v>
      </c>
      <c r="BZ74">
        <f t="shared" ca="1" si="242"/>
        <v>0</v>
      </c>
      <c r="CA74">
        <f t="shared" ca="1" si="242"/>
        <v>0</v>
      </c>
      <c r="CB74">
        <f t="shared" ca="1" si="242"/>
        <v>0</v>
      </c>
      <c r="CC74">
        <f t="shared" ca="1" si="242"/>
        <v>0</v>
      </c>
      <c r="CD74">
        <f t="shared" ca="1" si="242"/>
        <v>0</v>
      </c>
      <c r="CE74">
        <f t="shared" ca="1" si="242"/>
        <v>0</v>
      </c>
      <c r="CF74">
        <f t="shared" ca="1" si="242"/>
        <v>0</v>
      </c>
      <c r="CG74">
        <f t="shared" ca="1" si="242"/>
        <v>0</v>
      </c>
      <c r="CH74">
        <f t="shared" ca="1" si="242"/>
        <v>0</v>
      </c>
      <c r="CI74">
        <f t="shared" ca="1" si="242"/>
        <v>0</v>
      </c>
      <c r="CJ74">
        <f t="shared" ca="1" si="242"/>
        <v>0</v>
      </c>
      <c r="CK74">
        <f t="shared" ca="1" si="242"/>
        <v>0</v>
      </c>
      <c r="CL74">
        <f t="shared" ca="1" si="242"/>
        <v>0</v>
      </c>
      <c r="CM74">
        <f t="shared" ca="1" si="242"/>
        <v>0</v>
      </c>
      <c r="CN74">
        <f t="shared" ca="1" si="242"/>
        <v>0</v>
      </c>
      <c r="CO74">
        <f t="shared" ca="1" si="242"/>
        <v>0</v>
      </c>
      <c r="CP74">
        <f t="shared" ca="1" si="242"/>
        <v>0</v>
      </c>
      <c r="CQ74">
        <f t="shared" ca="1" si="242"/>
        <v>0</v>
      </c>
      <c r="CR74">
        <f t="shared" ca="1" si="242"/>
        <v>0</v>
      </c>
      <c r="CS74">
        <f t="shared" ca="1" si="242"/>
        <v>0</v>
      </c>
      <c r="CT74">
        <f t="shared" ca="1" si="242"/>
        <v>0</v>
      </c>
      <c r="CU74">
        <f t="shared" ca="1" si="242"/>
        <v>0</v>
      </c>
      <c r="CV74">
        <f t="shared" ca="1" si="242"/>
        <v>0</v>
      </c>
      <c r="CW74" t="str">
        <f t="shared" ca="1" si="242"/>
        <v>Winner Group A</v>
      </c>
      <c r="CX74">
        <f t="shared" ca="1" si="242"/>
        <v>0</v>
      </c>
      <c r="CY74">
        <f t="shared" ca="1" si="242"/>
        <v>0</v>
      </c>
      <c r="CZ74" t="str">
        <f t="shared" ca="1" si="242"/>
        <v>Runner-up Group B</v>
      </c>
      <c r="DA74">
        <f t="shared" ca="1" si="242"/>
        <v>0</v>
      </c>
      <c r="DB74">
        <f t="shared" ca="1" si="242"/>
        <v>0</v>
      </c>
      <c r="DC74" t="str">
        <f t="shared" ca="1" si="242"/>
        <v>Winner Group C</v>
      </c>
      <c r="DD74">
        <f t="shared" ca="1" si="242"/>
        <v>0</v>
      </c>
      <c r="DE74">
        <f t="shared" ca="1" si="242"/>
        <v>0</v>
      </c>
      <c r="DF74" t="str">
        <f t="shared" ca="1" si="242"/>
        <v>Runner-up Group D</v>
      </c>
      <c r="DG74">
        <f t="shared" ca="1" si="242"/>
        <v>0</v>
      </c>
      <c r="DH74">
        <f t="shared" ca="1" si="242"/>
        <v>0</v>
      </c>
      <c r="DI74" t="str">
        <f t="shared" ca="1" si="242"/>
        <v>Winner Group B</v>
      </c>
      <c r="DJ74">
        <f t="shared" ca="1" si="242"/>
        <v>0</v>
      </c>
      <c r="DK74">
        <f t="shared" ca="1" si="242"/>
        <v>0</v>
      </c>
      <c r="DL74" t="str">
        <f t="shared" ca="1" si="242"/>
        <v>Runner-up Group A</v>
      </c>
      <c r="DM74">
        <f t="shared" ca="1" si="242"/>
        <v>0</v>
      </c>
      <c r="DN74">
        <f t="shared" ca="1" si="242"/>
        <v>0</v>
      </c>
      <c r="DO74" t="str">
        <f t="shared" ca="1" si="242"/>
        <v>Winner Group D</v>
      </c>
      <c r="DP74">
        <f t="shared" ca="1" si="242"/>
        <v>0</v>
      </c>
      <c r="DQ74">
        <f t="shared" ca="1" si="242"/>
        <v>0</v>
      </c>
      <c r="DR74" t="str">
        <f t="shared" ca="1" si="242"/>
        <v>Runner-up Group C</v>
      </c>
      <c r="DS74">
        <f t="shared" ca="1" si="242"/>
        <v>0</v>
      </c>
      <c r="DT74">
        <f t="shared" ca="1" si="242"/>
        <v>0</v>
      </c>
      <c r="DU74" t="str">
        <f t="shared" ca="1" si="242"/>
        <v>Winner Group E</v>
      </c>
      <c r="DV74">
        <f t="shared" ca="1" si="242"/>
        <v>0</v>
      </c>
      <c r="DW74">
        <f t="shared" ca="1" si="242"/>
        <v>0</v>
      </c>
      <c r="DX74" t="str">
        <f t="shared" ca="1" si="242"/>
        <v>Runner-up Group F</v>
      </c>
      <c r="DY74">
        <f t="shared" ca="1" si="242"/>
        <v>0</v>
      </c>
      <c r="DZ74">
        <f t="shared" ref="DZ74:GK74" ca="1" si="243">INDIRECT(DZ73,TRUE)</f>
        <v>0</v>
      </c>
      <c r="EA74" t="str">
        <f t="shared" ca="1" si="243"/>
        <v>Winner Group G</v>
      </c>
      <c r="EB74">
        <f t="shared" ca="1" si="243"/>
        <v>0</v>
      </c>
      <c r="EC74">
        <f t="shared" ca="1" si="243"/>
        <v>0</v>
      </c>
      <c r="ED74" t="str">
        <f t="shared" ca="1" si="243"/>
        <v>Runner-up Group H</v>
      </c>
      <c r="EE74">
        <f t="shared" ca="1" si="243"/>
        <v>0</v>
      </c>
      <c r="EF74">
        <f t="shared" ca="1" si="243"/>
        <v>0</v>
      </c>
      <c r="EG74" t="str">
        <f t="shared" ca="1" si="243"/>
        <v>Winner Group F</v>
      </c>
      <c r="EH74">
        <f t="shared" ca="1" si="243"/>
        <v>0</v>
      </c>
      <c r="EI74">
        <f t="shared" ca="1" si="243"/>
        <v>0</v>
      </c>
      <c r="EJ74" t="str">
        <f t="shared" ca="1" si="243"/>
        <v>Runner-up Group E</v>
      </c>
      <c r="EK74">
        <f t="shared" ca="1" si="243"/>
        <v>0</v>
      </c>
      <c r="EL74">
        <f t="shared" ca="1" si="243"/>
        <v>0</v>
      </c>
      <c r="EM74" t="str">
        <f t="shared" ca="1" si="243"/>
        <v>Winner Group H</v>
      </c>
      <c r="EN74">
        <f t="shared" ca="1" si="243"/>
        <v>0</v>
      </c>
      <c r="EO74">
        <f t="shared" ca="1" si="243"/>
        <v>0</v>
      </c>
      <c r="EP74" t="str">
        <f t="shared" ca="1" si="243"/>
        <v>Runner-up Group G</v>
      </c>
      <c r="EQ74">
        <f t="shared" ca="1" si="243"/>
        <v>0</v>
      </c>
      <c r="ER74">
        <f t="shared" ca="1" si="243"/>
        <v>0</v>
      </c>
      <c r="ES74" t="str">
        <f t="shared" ca="1" si="243"/>
        <v>Winner Match 49</v>
      </c>
      <c r="ET74">
        <f t="shared" ca="1" si="243"/>
        <v>0</v>
      </c>
      <c r="EU74">
        <f t="shared" ca="1" si="243"/>
        <v>0</v>
      </c>
      <c r="EV74" t="str">
        <f t="shared" ca="1" si="243"/>
        <v>Winner Match 50</v>
      </c>
      <c r="EW74">
        <f t="shared" ca="1" si="243"/>
        <v>0</v>
      </c>
      <c r="EX74">
        <f t="shared" ca="1" si="243"/>
        <v>0</v>
      </c>
      <c r="EY74" t="str">
        <f t="shared" ca="1" si="243"/>
        <v>Winner Match 53</v>
      </c>
      <c r="EZ74">
        <f t="shared" ca="1" si="243"/>
        <v>0</v>
      </c>
      <c r="FA74">
        <f t="shared" ca="1" si="243"/>
        <v>0</v>
      </c>
      <c r="FB74" t="str">
        <f t="shared" ca="1" si="243"/>
        <v>Winner Match 54</v>
      </c>
      <c r="FC74">
        <f t="shared" ca="1" si="243"/>
        <v>0</v>
      </c>
      <c r="FD74">
        <f t="shared" ca="1" si="243"/>
        <v>0</v>
      </c>
      <c r="FE74" t="str">
        <f t="shared" ca="1" si="243"/>
        <v>Winner Match 51</v>
      </c>
      <c r="FF74">
        <f t="shared" ca="1" si="243"/>
        <v>0</v>
      </c>
      <c r="FG74">
        <f t="shared" ca="1" si="243"/>
        <v>0</v>
      </c>
      <c r="FH74" t="str">
        <f t="shared" ca="1" si="243"/>
        <v>Winner Match 52</v>
      </c>
      <c r="FI74">
        <f t="shared" ca="1" si="243"/>
        <v>0</v>
      </c>
      <c r="FJ74">
        <f t="shared" ca="1" si="243"/>
        <v>0</v>
      </c>
      <c r="FK74" t="str">
        <f t="shared" ca="1" si="243"/>
        <v>Winner Match 55</v>
      </c>
      <c r="FL74">
        <f t="shared" ca="1" si="243"/>
        <v>0</v>
      </c>
      <c r="FM74">
        <f t="shared" ca="1" si="243"/>
        <v>0</v>
      </c>
      <c r="FN74" t="str">
        <f t="shared" ca="1" si="243"/>
        <v>Winner Match 56</v>
      </c>
      <c r="FO74">
        <f t="shared" ca="1" si="243"/>
        <v>0</v>
      </c>
      <c r="FP74">
        <f t="shared" ca="1" si="243"/>
        <v>0</v>
      </c>
      <c r="FQ74" t="str">
        <f t="shared" ca="1" si="243"/>
        <v>Winner Match 57</v>
      </c>
      <c r="FR74">
        <f t="shared" ca="1" si="243"/>
        <v>0</v>
      </c>
      <c r="FS74">
        <f t="shared" ca="1" si="243"/>
        <v>0</v>
      </c>
      <c r="FT74" t="str">
        <f t="shared" ca="1" si="243"/>
        <v>Winner Match 58</v>
      </c>
      <c r="FU74">
        <f t="shared" ca="1" si="243"/>
        <v>0</v>
      </c>
      <c r="FV74">
        <f t="shared" ca="1" si="243"/>
        <v>0</v>
      </c>
      <c r="FW74" t="str">
        <f t="shared" ca="1" si="243"/>
        <v>Winner Match 59</v>
      </c>
      <c r="FX74">
        <f t="shared" ca="1" si="243"/>
        <v>0</v>
      </c>
      <c r="FY74">
        <f t="shared" ca="1" si="243"/>
        <v>0</v>
      </c>
      <c r="FZ74" t="str">
        <f t="shared" ca="1" si="243"/>
        <v>Winner Match 60</v>
      </c>
      <c r="GA74">
        <f t="shared" ca="1" si="243"/>
        <v>0</v>
      </c>
      <c r="GB74">
        <f t="shared" ca="1" si="243"/>
        <v>0</v>
      </c>
      <c r="GC74" t="str">
        <f t="shared" ca="1" si="243"/>
        <v>Loser Match 61</v>
      </c>
      <c r="GD74">
        <f t="shared" ca="1" si="243"/>
        <v>0</v>
      </c>
      <c r="GE74">
        <f t="shared" ca="1" si="243"/>
        <v>0</v>
      </c>
      <c r="GF74" t="str">
        <f t="shared" ca="1" si="243"/>
        <v>Loser Match 62</v>
      </c>
      <c r="GG74">
        <f t="shared" ca="1" si="243"/>
        <v>0</v>
      </c>
      <c r="GH74">
        <f t="shared" ca="1" si="243"/>
        <v>0</v>
      </c>
      <c r="GI74" t="str">
        <f t="shared" ca="1" si="243"/>
        <v>Winner Match 61</v>
      </c>
      <c r="GJ74">
        <f t="shared" ca="1" si="243"/>
        <v>0</v>
      </c>
      <c r="GK74">
        <f t="shared" ca="1" si="243"/>
        <v>0</v>
      </c>
      <c r="GL74" t="str">
        <f t="shared" ref="GL74:GN74" ca="1" si="244">INDIRECT(GL73,TRUE)</f>
        <v>Winner Match 62</v>
      </c>
      <c r="GM74">
        <f t="shared" ca="1" si="244"/>
        <v>0</v>
      </c>
      <c r="GN74">
        <f t="shared" ca="1" si="244"/>
        <v>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/>
  <dimension ref="A1:Q159"/>
  <sheetViews>
    <sheetView topLeftCell="E1" workbookViewId="0">
      <selection activeCell="F28" sqref="F28"/>
    </sheetView>
  </sheetViews>
  <sheetFormatPr defaultColWidth="8.85546875" defaultRowHeight="15" x14ac:dyDescent="0.25"/>
  <cols>
    <col min="1" max="1" width="8.85546875" style="23" bestFit="1" customWidth="1"/>
    <col min="2" max="2" width="16.7109375" style="23" bestFit="1" customWidth="1"/>
    <col min="3" max="3" width="21" style="23" bestFit="1" customWidth="1"/>
    <col min="4" max="4" width="25.5703125" style="23" bestFit="1" customWidth="1"/>
    <col min="5" max="5" width="12.28515625" style="23" bestFit="1" customWidth="1"/>
    <col min="6" max="6" width="45.85546875" style="23" customWidth="1"/>
    <col min="7" max="7" width="27.7109375" style="23" bestFit="1" customWidth="1"/>
    <col min="8" max="8" width="12.140625" style="23" bestFit="1" customWidth="1"/>
    <col min="9" max="9" width="21.7109375" style="23" bestFit="1" customWidth="1"/>
    <col min="10" max="10" width="37.5703125" style="23" bestFit="1" customWidth="1"/>
    <col min="11" max="11" width="9" style="23" bestFit="1" customWidth="1"/>
    <col min="12" max="12" width="14" style="23" bestFit="1" customWidth="1"/>
    <col min="13" max="14" width="15.28515625" style="23" bestFit="1" customWidth="1"/>
    <col min="15" max="15" width="11.140625" style="23" bestFit="1" customWidth="1"/>
    <col min="16" max="16384" width="8.85546875" style="23"/>
  </cols>
  <sheetData>
    <row r="1" spans="1:17" x14ac:dyDescent="0.25">
      <c r="A1" s="23" t="s">
        <v>204</v>
      </c>
      <c r="B1" s="23" t="s">
        <v>202</v>
      </c>
      <c r="C1" s="23" t="s">
        <v>203</v>
      </c>
      <c r="D1" s="23" t="s">
        <v>174</v>
      </c>
      <c r="E1" s="51" t="s">
        <v>174</v>
      </c>
      <c r="F1" s="52" t="s">
        <v>200</v>
      </c>
      <c r="G1" s="23" t="s">
        <v>175</v>
      </c>
    </row>
    <row r="2" spans="1:17" x14ac:dyDescent="0.25">
      <c r="A2" s="23" t="s">
        <v>40</v>
      </c>
      <c r="B2" s="23" t="s">
        <v>47</v>
      </c>
      <c r="C2" s="23" t="str">
        <f>VLOOKUP(B2,languages!B$2:I$33,VLOOKUP(C$77,languages!B$81:C$87,2))</f>
        <v>Qatar</v>
      </c>
      <c r="D2" s="23" t="s">
        <v>189</v>
      </c>
      <c r="E2" s="53" t="s">
        <v>120</v>
      </c>
      <c r="F2" s="54">
        <f>1+Q2/24</f>
        <v>1</v>
      </c>
      <c r="G2" s="24">
        <f t="shared" ref="G2:G28" si="0">F2+4/24</f>
        <v>1.1666666666666667</v>
      </c>
      <c r="H2" s="24">
        <v>2</v>
      </c>
      <c r="I2" s="25"/>
      <c r="Q2" s="23">
        <v>0</v>
      </c>
    </row>
    <row r="3" spans="1:17" x14ac:dyDescent="0.25">
      <c r="A3" s="23" t="s">
        <v>40</v>
      </c>
      <c r="B3" s="23" t="s">
        <v>48</v>
      </c>
      <c r="C3" s="23" t="str">
        <f>VLOOKUP(B3,languages!B$2:I$33,VLOOKUP(C$77,languages!B$81:C$87,2))</f>
        <v>Ecuador</v>
      </c>
      <c r="D3" s="23" t="s">
        <v>190</v>
      </c>
      <c r="E3" s="53" t="s">
        <v>188</v>
      </c>
      <c r="F3" s="54">
        <f t="shared" ref="F3:F28" si="1">1+Q3/24</f>
        <v>1.0416666666666667</v>
      </c>
      <c r="G3" s="24">
        <f t="shared" si="0"/>
        <v>1.2083333333333335</v>
      </c>
      <c r="H3" s="24">
        <v>2.0416666666666665</v>
      </c>
      <c r="I3" s="25"/>
      <c r="Q3" s="23">
        <v>1</v>
      </c>
    </row>
    <row r="4" spans="1:17" x14ac:dyDescent="0.25">
      <c r="A4" s="23" t="s">
        <v>40</v>
      </c>
      <c r="B4" s="23" t="s">
        <v>49</v>
      </c>
      <c r="C4" s="23" t="str">
        <f>VLOOKUP(B4,languages!B$2:I$33,VLOOKUP(C$77,languages!B$81:C$87,2))</f>
        <v>Senegal</v>
      </c>
      <c r="D4" s="23" t="s">
        <v>191</v>
      </c>
      <c r="E4" s="53" t="s">
        <v>191</v>
      </c>
      <c r="F4" s="54">
        <f t="shared" si="1"/>
        <v>1.4166666666666667</v>
      </c>
      <c r="G4" s="24">
        <f t="shared" si="0"/>
        <v>1.5833333333333335</v>
      </c>
      <c r="H4" s="24">
        <v>2.4166666666666665</v>
      </c>
      <c r="I4" s="25"/>
      <c r="Q4" s="23">
        <v>10</v>
      </c>
    </row>
    <row r="5" spans="1:17" x14ac:dyDescent="0.25">
      <c r="A5" s="23" t="s">
        <v>40</v>
      </c>
      <c r="B5" s="23" t="s">
        <v>50</v>
      </c>
      <c r="C5" s="23" t="str">
        <f>VLOOKUP(B5,languages!B$2:I$33,VLOOKUP(C$77,languages!B$81:C$87,2))</f>
        <v>Netherlands</v>
      </c>
      <c r="D5" s="23" t="s">
        <v>192</v>
      </c>
      <c r="E5" s="53" t="s">
        <v>190</v>
      </c>
      <c r="F5" s="54">
        <f t="shared" si="1"/>
        <v>1.4583333333333333</v>
      </c>
      <c r="G5" s="24">
        <f t="shared" si="0"/>
        <v>1.625</v>
      </c>
      <c r="H5" s="24">
        <v>2.4583333333333335</v>
      </c>
      <c r="I5" s="25"/>
      <c r="Q5" s="23">
        <v>11</v>
      </c>
    </row>
    <row r="6" spans="1:17" x14ac:dyDescent="0.25">
      <c r="A6" s="23" t="s">
        <v>40</v>
      </c>
      <c r="B6" s="23" t="s">
        <v>51</v>
      </c>
      <c r="C6" s="23" t="str">
        <f>VLOOKUP(B6,languages!B$2:I$33,VLOOKUP(C$77,languages!B$81:C$87,2))</f>
        <v>England</v>
      </c>
      <c r="D6" s="23" t="s">
        <v>193</v>
      </c>
      <c r="E6" s="53" t="s">
        <v>189</v>
      </c>
      <c r="F6" s="54">
        <f t="shared" si="1"/>
        <v>1.5</v>
      </c>
      <c r="G6" s="24">
        <f t="shared" si="0"/>
        <v>1.6666666666666667</v>
      </c>
      <c r="H6" s="24">
        <v>2.5</v>
      </c>
      <c r="I6" s="25"/>
      <c r="J6" s="25"/>
      <c r="Q6" s="23">
        <v>12</v>
      </c>
    </row>
    <row r="7" spans="1:17" x14ac:dyDescent="0.25">
      <c r="A7" s="23" t="s">
        <v>40</v>
      </c>
      <c r="B7" s="23" t="s">
        <v>52</v>
      </c>
      <c r="C7" s="23" t="str">
        <f>VLOOKUP(B7,languages!B$2:I$33,VLOOKUP(C$77,languages!B$81:C$87,2))</f>
        <v>Iran</v>
      </c>
      <c r="D7" s="23" t="s">
        <v>194</v>
      </c>
      <c r="E7" s="53" t="s">
        <v>199</v>
      </c>
      <c r="F7" s="54">
        <f t="shared" si="1"/>
        <v>1.0833333333333333</v>
      </c>
      <c r="G7" s="24">
        <f t="shared" si="0"/>
        <v>1.25</v>
      </c>
      <c r="H7" s="24">
        <v>2.0833333333333335</v>
      </c>
      <c r="I7" s="25"/>
      <c r="Q7" s="23">
        <v>2</v>
      </c>
    </row>
    <row r="8" spans="1:17" x14ac:dyDescent="0.25">
      <c r="A8" s="23" t="s">
        <v>40</v>
      </c>
      <c r="B8" s="23" t="s">
        <v>53</v>
      </c>
      <c r="C8" s="23" t="str">
        <f>VLOOKUP(B8,languages!B$2:I$33,VLOOKUP(C$77,languages!B$81:C$87,2))</f>
        <v>USA</v>
      </c>
      <c r="D8" s="23" t="s">
        <v>195</v>
      </c>
      <c r="E8" s="53" t="s">
        <v>198</v>
      </c>
      <c r="F8" s="54">
        <f t="shared" si="1"/>
        <v>1.125</v>
      </c>
      <c r="G8" s="24">
        <f t="shared" si="0"/>
        <v>1.2916666666666667</v>
      </c>
      <c r="H8" s="24">
        <v>2.125</v>
      </c>
      <c r="I8" s="25"/>
      <c r="Q8" s="23">
        <v>3</v>
      </c>
    </row>
    <row r="9" spans="1:17" ht="18.75" x14ac:dyDescent="0.35">
      <c r="A9" s="23" t="s">
        <v>40</v>
      </c>
      <c r="B9" s="23" t="s">
        <v>54</v>
      </c>
      <c r="C9" s="23" t="str">
        <f>VLOOKUP(B9,languages!B$2:I$33,VLOOKUP(C$77,languages!B$81:C$87,2))</f>
        <v>Wales</v>
      </c>
      <c r="D9" s="23" t="s">
        <v>233</v>
      </c>
      <c r="E9" s="53" t="s">
        <v>197</v>
      </c>
      <c r="F9" s="54">
        <f t="shared" si="1"/>
        <v>1.1666666666666667</v>
      </c>
      <c r="G9" s="24">
        <f t="shared" si="0"/>
        <v>1.3333333333333335</v>
      </c>
      <c r="H9" s="24">
        <v>2.1666666666666665</v>
      </c>
      <c r="I9" s="25"/>
      <c r="Q9" s="23">
        <v>4</v>
      </c>
    </row>
    <row r="10" spans="1:17" x14ac:dyDescent="0.25">
      <c r="A10" s="23" t="s">
        <v>40</v>
      </c>
      <c r="B10" s="23" t="s">
        <v>55</v>
      </c>
      <c r="C10" s="23" t="str">
        <f>VLOOKUP(B10,languages!B$2:I$33,VLOOKUP(C$77,languages!B$81:C$87,2))</f>
        <v>Argentina</v>
      </c>
      <c r="D10" s="23" t="s">
        <v>196</v>
      </c>
      <c r="E10" s="53" t="s">
        <v>196</v>
      </c>
      <c r="F10" s="54">
        <f t="shared" si="1"/>
        <v>1.2083333333333333</v>
      </c>
      <c r="G10" s="24">
        <f t="shared" si="0"/>
        <v>1.375</v>
      </c>
      <c r="H10" s="24">
        <v>2.2083333333333335</v>
      </c>
      <c r="I10" s="25"/>
      <c r="Q10" s="23">
        <v>5</v>
      </c>
    </row>
    <row r="11" spans="1:17" ht="18.75" x14ac:dyDescent="0.35">
      <c r="A11" s="23" t="s">
        <v>40</v>
      </c>
      <c r="B11" s="23" t="s">
        <v>56</v>
      </c>
      <c r="C11" s="23" t="str">
        <f>VLOOKUP(B11,languages!B$2:I$33,VLOOKUP(C$77,languages!B$81:C$87,2))</f>
        <v>Saudi Arabia</v>
      </c>
      <c r="D11" s="23" t="s">
        <v>197</v>
      </c>
      <c r="E11" s="53" t="s">
        <v>233</v>
      </c>
      <c r="F11" s="54">
        <f t="shared" si="1"/>
        <v>1.2291666666666667</v>
      </c>
      <c r="G11" s="24">
        <f t="shared" si="0"/>
        <v>1.3958333333333335</v>
      </c>
      <c r="H11" s="24">
        <v>2.2291666666666665</v>
      </c>
      <c r="I11" s="25"/>
      <c r="Q11" s="23">
        <v>5.5</v>
      </c>
    </row>
    <row r="12" spans="1:17" x14ac:dyDescent="0.25">
      <c r="A12" s="23" t="s">
        <v>40</v>
      </c>
      <c r="B12" s="23" t="s">
        <v>57</v>
      </c>
      <c r="C12" s="23" t="str">
        <f>VLOOKUP(B12,languages!B$2:I$33,VLOOKUP(C$77,languages!B$81:C$87,2))</f>
        <v>Mexico</v>
      </c>
      <c r="D12" s="23" t="s">
        <v>198</v>
      </c>
      <c r="E12" s="53" t="s">
        <v>195</v>
      </c>
      <c r="F12" s="54">
        <f t="shared" si="1"/>
        <v>1.25</v>
      </c>
      <c r="G12" s="24">
        <f t="shared" si="0"/>
        <v>1.4166666666666667</v>
      </c>
      <c r="H12" s="24">
        <v>2.25</v>
      </c>
      <c r="I12" s="25"/>
      <c r="L12" s="119" t="s">
        <v>259</v>
      </c>
      <c r="M12" s="125"/>
      <c r="N12" s="125" t="s">
        <v>260</v>
      </c>
      <c r="O12" s="120" t="s">
        <v>261</v>
      </c>
      <c r="Q12" s="23">
        <v>6</v>
      </c>
    </row>
    <row r="13" spans="1:17" x14ac:dyDescent="0.25">
      <c r="A13" s="23" t="s">
        <v>40</v>
      </c>
      <c r="B13" s="23" t="s">
        <v>58</v>
      </c>
      <c r="C13" s="23" t="str">
        <f>VLOOKUP(B13,languages!B$2:I$33,VLOOKUP(C$77,languages!B$81:C$87,2))</f>
        <v>Poland</v>
      </c>
      <c r="D13" s="23" t="s">
        <v>199</v>
      </c>
      <c r="E13" s="53" t="s">
        <v>194</v>
      </c>
      <c r="F13" s="54">
        <f t="shared" si="1"/>
        <v>1.2916666666666667</v>
      </c>
      <c r="G13" s="24">
        <f t="shared" si="0"/>
        <v>1.4583333333333335</v>
      </c>
      <c r="H13" s="24">
        <v>2.2916666666666665</v>
      </c>
      <c r="I13" s="25"/>
      <c r="L13" s="121" t="s">
        <v>258</v>
      </c>
      <c r="M13" s="23" t="s">
        <v>262</v>
      </c>
      <c r="O13" s="122">
        <f ca="1">SUM(O14:O15)</f>
        <v>0</v>
      </c>
      <c r="Q13" s="23">
        <v>7</v>
      </c>
    </row>
    <row r="14" spans="1:17" x14ac:dyDescent="0.25">
      <c r="A14" s="23" t="s">
        <v>40</v>
      </c>
      <c r="B14" s="23" t="s">
        <v>59</v>
      </c>
      <c r="C14" s="23" t="str">
        <f>VLOOKUP(B14,languages!B$2:I$33,VLOOKUP(C$77,languages!B$81:C$87,2))</f>
        <v>France</v>
      </c>
      <c r="D14" s="23" t="s">
        <v>188</v>
      </c>
      <c r="E14" s="53" t="s">
        <v>193</v>
      </c>
      <c r="F14" s="54">
        <f t="shared" si="1"/>
        <v>1.3333333333333333</v>
      </c>
      <c r="G14" s="24">
        <f t="shared" si="0"/>
        <v>1.5</v>
      </c>
      <c r="H14" s="24">
        <v>2.3333333333333335</v>
      </c>
      <c r="L14" s="126">
        <v>42819</v>
      </c>
      <c r="M14" s="118">
        <v>43038</v>
      </c>
      <c r="N14" s="118">
        <f ca="1">TODAY()</f>
        <v>44882</v>
      </c>
      <c r="O14" s="122">
        <f ca="1">IF(N14&gt;L14,IF(N14&lt;M14,-1,0),0)</f>
        <v>0</v>
      </c>
      <c r="Q14" s="23">
        <v>8</v>
      </c>
    </row>
    <row r="15" spans="1:17" x14ac:dyDescent="0.25">
      <c r="A15" s="23" t="s">
        <v>40</v>
      </c>
      <c r="B15" s="23" t="s">
        <v>60</v>
      </c>
      <c r="C15" s="23" t="str">
        <f>VLOOKUP(B15,languages!B$2:I$33,VLOOKUP(C$77,languages!B$81:C$87,2))</f>
        <v>Australia</v>
      </c>
      <c r="D15" s="23" t="s">
        <v>120</v>
      </c>
      <c r="E15" s="53" t="s">
        <v>192</v>
      </c>
      <c r="F15" s="54">
        <f t="shared" si="1"/>
        <v>1.375</v>
      </c>
      <c r="G15" s="24">
        <f t="shared" si="0"/>
        <v>1.5416666666666667</v>
      </c>
      <c r="H15" s="24">
        <v>2.375</v>
      </c>
      <c r="L15" s="127">
        <v>43183</v>
      </c>
      <c r="M15" s="128">
        <v>43402</v>
      </c>
      <c r="N15" s="128">
        <f ca="1">N14</f>
        <v>44882</v>
      </c>
      <c r="O15" s="124">
        <f ca="1">IF(N15&gt;L15,IF(N15&lt;M15,-1,0),0)</f>
        <v>0</v>
      </c>
      <c r="Q15" s="23">
        <v>9</v>
      </c>
    </row>
    <row r="16" spans="1:17" x14ac:dyDescent="0.25">
      <c r="A16" s="23" t="s">
        <v>40</v>
      </c>
      <c r="B16" s="23" t="s">
        <v>61</v>
      </c>
      <c r="C16" s="23" t="str">
        <f>VLOOKUP(B16,languages!B$2:I$33,VLOOKUP(C$77,languages!B$81:C$87,2))</f>
        <v>Denmark</v>
      </c>
      <c r="D16" s="23" t="s">
        <v>178</v>
      </c>
      <c r="E16" s="53" t="s">
        <v>178</v>
      </c>
      <c r="F16" s="54">
        <f t="shared" si="1"/>
        <v>0.95833333333333337</v>
      </c>
      <c r="G16" s="24">
        <f t="shared" si="0"/>
        <v>1.125</v>
      </c>
      <c r="H16" s="24">
        <f>H15-10/24</f>
        <v>1.9583333333333333</v>
      </c>
      <c r="I16" s="119" t="s">
        <v>738</v>
      </c>
      <c r="J16" s="169" t="str">
        <f>'Match data'!R2</f>
        <v>Ahmad Bin Ali Stadium</v>
      </c>
      <c r="K16" s="120">
        <f ca="1">'Match data'!S2+O$13</f>
        <v>3</v>
      </c>
      <c r="Q16" s="23">
        <v>-1</v>
      </c>
    </row>
    <row r="17" spans="1:17" x14ac:dyDescent="0.25">
      <c r="A17" s="23" t="s">
        <v>40</v>
      </c>
      <c r="B17" s="23" t="s">
        <v>62</v>
      </c>
      <c r="C17" s="23" t="str">
        <f>VLOOKUP(B17,languages!B$2:I$33,VLOOKUP(C$77,languages!B$81:C$87,2))</f>
        <v>Tunisia</v>
      </c>
      <c r="D17" s="23" t="s">
        <v>179</v>
      </c>
      <c r="E17" s="53" t="s">
        <v>187</v>
      </c>
      <c r="F17" s="54">
        <f t="shared" si="1"/>
        <v>0.58333333333333326</v>
      </c>
      <c r="G17" s="24">
        <f t="shared" si="0"/>
        <v>0.74999999999999989</v>
      </c>
      <c r="H17" s="24">
        <f>H16-9/24</f>
        <v>1.5833333333333333</v>
      </c>
      <c r="I17" s="121" t="e">
        <f t="shared" ref="I17:I27" si="2">CONCATENATE("Time in",RIGHT(J17,LEN(J17)-FIND(",",J17)))</f>
        <v>#VALUE!</v>
      </c>
      <c r="J17" s="170" t="str">
        <f>'Match data'!R3</f>
        <v>Al Bayt Stadium</v>
      </c>
      <c r="K17" s="122">
        <f ca="1">'Match data'!S3+O$13</f>
        <v>3</v>
      </c>
      <c r="Q17" s="23">
        <v>-10</v>
      </c>
    </row>
    <row r="18" spans="1:17" x14ac:dyDescent="0.25">
      <c r="A18" s="23" t="s">
        <v>40</v>
      </c>
      <c r="B18" s="23" t="s">
        <v>63</v>
      </c>
      <c r="C18" s="23" t="str">
        <f>VLOOKUP(B18,languages!B$2:I$33,VLOOKUP(C$77,languages!B$81:C$87,2))</f>
        <v>Spain</v>
      </c>
      <c r="D18" s="23" t="s">
        <v>180</v>
      </c>
      <c r="E18" s="53" t="s">
        <v>177</v>
      </c>
      <c r="F18" s="54">
        <f t="shared" si="1"/>
        <v>0.54166666666666674</v>
      </c>
      <c r="G18" s="24">
        <f t="shared" si="0"/>
        <v>0.70833333333333337</v>
      </c>
      <c r="H18" s="24">
        <f>H17-1/24</f>
        <v>1.5416666666666665</v>
      </c>
      <c r="I18" s="121" t="e">
        <f t="shared" si="2"/>
        <v>#VALUE!</v>
      </c>
      <c r="J18" s="170" t="str">
        <f>'Match data'!R4</f>
        <v>Al Janoub Stadium</v>
      </c>
      <c r="K18" s="122">
        <f ca="1">'Match data'!S4+O$13</f>
        <v>3</v>
      </c>
      <c r="Q18" s="23">
        <v>-11</v>
      </c>
    </row>
    <row r="19" spans="1:17" x14ac:dyDescent="0.25">
      <c r="A19" s="23" t="s">
        <v>40</v>
      </c>
      <c r="B19" s="23" t="s">
        <v>64</v>
      </c>
      <c r="C19" s="23" t="str">
        <f>VLOOKUP(B19,languages!B$2:I$33,VLOOKUP(C$77,languages!B$81:C$87,2))</f>
        <v>Costa Rica</v>
      </c>
      <c r="D19" s="23" t="s">
        <v>181</v>
      </c>
      <c r="E19" s="53" t="s">
        <v>176</v>
      </c>
      <c r="F19" s="54">
        <f t="shared" si="1"/>
        <v>0.5</v>
      </c>
      <c r="G19" s="24">
        <f t="shared" si="0"/>
        <v>0.66666666666666663</v>
      </c>
      <c r="H19" s="24">
        <f>H18-1/24</f>
        <v>1.4999999999999998</v>
      </c>
      <c r="I19" s="121" t="e">
        <f t="shared" si="2"/>
        <v>#VALUE!</v>
      </c>
      <c r="J19" s="170" t="str">
        <f>'Match data'!R5</f>
        <v>Al Thumama Stadium</v>
      </c>
      <c r="K19" s="122">
        <f ca="1">'Match data'!S5+O$13</f>
        <v>3</v>
      </c>
      <c r="Q19" s="23">
        <v>-12</v>
      </c>
    </row>
    <row r="20" spans="1:17" x14ac:dyDescent="0.25">
      <c r="A20" s="23" t="s">
        <v>40</v>
      </c>
      <c r="B20" s="23" t="s">
        <v>65</v>
      </c>
      <c r="C20" s="23" t="str">
        <f>VLOOKUP(B20,languages!B$2:I$33,VLOOKUP(C$77,languages!B$81:C$87,2))</f>
        <v>Germany</v>
      </c>
      <c r="D20" s="23" t="s">
        <v>182</v>
      </c>
      <c r="E20" s="53" t="s">
        <v>179</v>
      </c>
      <c r="F20" s="54">
        <f t="shared" si="1"/>
        <v>0.91666666666666663</v>
      </c>
      <c r="G20" s="24">
        <f t="shared" si="0"/>
        <v>1.0833333333333333</v>
      </c>
      <c r="H20" s="24">
        <f>H2-2/24</f>
        <v>1.9166666666666667</v>
      </c>
      <c r="I20" s="121" t="e">
        <f t="shared" si="2"/>
        <v>#VALUE!</v>
      </c>
      <c r="J20" s="170" t="str">
        <f>'Match data'!R6</f>
        <v>Education City Stadium</v>
      </c>
      <c r="K20" s="122">
        <f ca="1">'Match data'!S6+O$13</f>
        <v>3</v>
      </c>
      <c r="Q20" s="23">
        <v>-2</v>
      </c>
    </row>
    <row r="21" spans="1:17" ht="18.75" x14ac:dyDescent="0.35">
      <c r="A21" s="23" t="s">
        <v>40</v>
      </c>
      <c r="B21" s="23" t="s">
        <v>66</v>
      </c>
      <c r="C21" s="23" t="str">
        <f>VLOOKUP(B21,languages!B$2:I$33,VLOOKUP(C$77,languages!B$81:C$87,2))</f>
        <v>Japan</v>
      </c>
      <c r="D21" s="23" t="s">
        <v>234</v>
      </c>
      <c r="E21" s="53" t="s">
        <v>180</v>
      </c>
      <c r="F21" s="54">
        <f t="shared" si="1"/>
        <v>0.875</v>
      </c>
      <c r="G21" s="24">
        <f t="shared" si="0"/>
        <v>1.0416666666666667</v>
      </c>
      <c r="H21" s="24">
        <f>H20-1/24</f>
        <v>1.875</v>
      </c>
      <c r="I21" s="121" t="e">
        <f t="shared" si="2"/>
        <v>#VALUE!</v>
      </c>
      <c r="J21" s="170" t="str">
        <f>'Match data'!R7</f>
        <v>Khalifa International Stadium</v>
      </c>
      <c r="K21" s="122">
        <f ca="1">'Match data'!S7+O$13</f>
        <v>3</v>
      </c>
      <c r="Q21" s="23">
        <v>-3</v>
      </c>
    </row>
    <row r="22" spans="1:17" x14ac:dyDescent="0.25">
      <c r="A22" s="23" t="s">
        <v>40</v>
      </c>
      <c r="B22" s="23" t="s">
        <v>67</v>
      </c>
      <c r="C22" s="23" t="str">
        <f>VLOOKUP(B22,languages!B$2:I$33,VLOOKUP(C$77,languages!B$81:C$87,2))</f>
        <v>Belgium</v>
      </c>
      <c r="D22" s="23" t="s">
        <v>183</v>
      </c>
      <c r="E22" s="53" t="s">
        <v>181</v>
      </c>
      <c r="F22" s="54">
        <f t="shared" si="1"/>
        <v>0.83333333333333337</v>
      </c>
      <c r="G22" s="24">
        <f t="shared" si="0"/>
        <v>1</v>
      </c>
      <c r="H22" s="24">
        <f t="shared" ref="H22:H28" si="3">H21-1/24</f>
        <v>1.8333333333333333</v>
      </c>
      <c r="I22" s="121" t="e">
        <f t="shared" si="2"/>
        <v>#VALUE!</v>
      </c>
      <c r="J22" s="170" t="str">
        <f>'Match data'!R8</f>
        <v>Lusail Stadium</v>
      </c>
      <c r="K22" s="122">
        <f ca="1">'Match data'!S8+O$13</f>
        <v>3</v>
      </c>
      <c r="Q22" s="23">
        <v>-4</v>
      </c>
    </row>
    <row r="23" spans="1:17" x14ac:dyDescent="0.25">
      <c r="A23" s="23" t="s">
        <v>40</v>
      </c>
      <c r="B23" s="23" t="s">
        <v>68</v>
      </c>
      <c r="C23" s="23" t="str">
        <f>VLOOKUP(B23,languages!B$2:I$33,VLOOKUP(C$77,languages!B$81:C$87,2))</f>
        <v>Canada</v>
      </c>
      <c r="D23" s="23" t="s">
        <v>184</v>
      </c>
      <c r="E23" s="53" t="s">
        <v>182</v>
      </c>
      <c r="F23" s="54">
        <f t="shared" si="1"/>
        <v>0.79166666666666663</v>
      </c>
      <c r="G23" s="24">
        <f t="shared" si="0"/>
        <v>0.95833333333333326</v>
      </c>
      <c r="H23" s="24">
        <f t="shared" si="3"/>
        <v>1.7916666666666665</v>
      </c>
      <c r="I23" s="121" t="e">
        <f t="shared" si="2"/>
        <v>#VALUE!</v>
      </c>
      <c r="J23" s="170" t="str">
        <f>'Match data'!R9</f>
        <v>Stadium 974</v>
      </c>
      <c r="K23" s="122">
        <f ca="1">'Match data'!S9+O$13</f>
        <v>3</v>
      </c>
      <c r="Q23" s="23">
        <v>-5</v>
      </c>
    </row>
    <row r="24" spans="1:17" ht="18.75" x14ac:dyDescent="0.35">
      <c r="A24" s="23" t="s">
        <v>40</v>
      </c>
      <c r="B24" s="23" t="s">
        <v>69</v>
      </c>
      <c r="C24" s="23" t="str">
        <f>VLOOKUP(B24,languages!B$2:I$33,VLOOKUP(C$77,languages!B$81:C$87,2))</f>
        <v>Morocco</v>
      </c>
      <c r="D24" s="23" t="s">
        <v>185</v>
      </c>
      <c r="E24" s="53" t="s">
        <v>234</v>
      </c>
      <c r="F24" s="54">
        <f t="shared" si="1"/>
        <v>0.77083333333333337</v>
      </c>
      <c r="G24" s="24">
        <f t="shared" si="0"/>
        <v>0.9375</v>
      </c>
      <c r="H24" s="24">
        <f>H23-0.5/24</f>
        <v>1.7708333333333333</v>
      </c>
      <c r="I24" s="121" t="str">
        <f t="shared" si="2"/>
        <v>Time in Saint Petersburg</v>
      </c>
      <c r="J24" s="170" t="str">
        <f>'Match data'!R10</f>
        <v>Saint Petersburg Stadium, Saint Petersburg</v>
      </c>
      <c r="K24" s="122">
        <f ca="1">'Match data'!S10+O$13</f>
        <v>3</v>
      </c>
      <c r="Q24" s="23">
        <v>-5.5</v>
      </c>
    </row>
    <row r="25" spans="1:17" x14ac:dyDescent="0.25">
      <c r="A25" s="23" t="s">
        <v>40</v>
      </c>
      <c r="B25" s="23" t="s">
        <v>70</v>
      </c>
      <c r="C25" s="23" t="str">
        <f>VLOOKUP(B25,languages!B$2:I$33,VLOOKUP(C$77,languages!B$81:C$87,2))</f>
        <v>Croatia</v>
      </c>
      <c r="D25" s="23" t="s">
        <v>186</v>
      </c>
      <c r="E25" s="53" t="s">
        <v>183</v>
      </c>
      <c r="F25" s="54">
        <f t="shared" si="1"/>
        <v>0.75</v>
      </c>
      <c r="G25" s="24">
        <f t="shared" si="0"/>
        <v>0.91666666666666663</v>
      </c>
      <c r="H25" s="24">
        <f>H24-0.5/24</f>
        <v>1.75</v>
      </c>
      <c r="I25" s="121" t="str">
        <f t="shared" si="2"/>
        <v>Time in Samara</v>
      </c>
      <c r="J25" s="170" t="str">
        <f>'Match data'!R11</f>
        <v>Samara Arena, Samara</v>
      </c>
      <c r="K25" s="122">
        <f ca="1">'Match data'!S11+O$13</f>
        <v>3</v>
      </c>
      <c r="Q25" s="23">
        <v>-6</v>
      </c>
    </row>
    <row r="26" spans="1:17" x14ac:dyDescent="0.25">
      <c r="A26" s="23" t="s">
        <v>40</v>
      </c>
      <c r="B26" s="23" t="s">
        <v>71</v>
      </c>
      <c r="C26" s="23" t="str">
        <f>VLOOKUP(B26,languages!B$2:I$33,VLOOKUP(C$77,languages!B$81:C$87,2))</f>
        <v>Brazil</v>
      </c>
      <c r="D26" s="23" t="s">
        <v>187</v>
      </c>
      <c r="E26" s="53" t="s">
        <v>184</v>
      </c>
      <c r="F26" s="54">
        <f t="shared" si="1"/>
        <v>0.70833333333333326</v>
      </c>
      <c r="G26" s="24">
        <f t="shared" si="0"/>
        <v>0.87499999999999989</v>
      </c>
      <c r="H26" s="24">
        <f t="shared" si="3"/>
        <v>1.7083333333333333</v>
      </c>
      <c r="I26" s="121" t="str">
        <f t="shared" si="2"/>
        <v>Time in Moscow</v>
      </c>
      <c r="J26" s="170" t="str">
        <f>'Match data'!R12</f>
        <v>Spartak Stadium, Moscow</v>
      </c>
      <c r="K26" s="122">
        <f ca="1">'Match data'!S12+O$13</f>
        <v>3</v>
      </c>
      <c r="Q26" s="23">
        <v>-7</v>
      </c>
    </row>
    <row r="27" spans="1:17" x14ac:dyDescent="0.25">
      <c r="A27" s="23" t="s">
        <v>40</v>
      </c>
      <c r="B27" s="23" t="s">
        <v>72</v>
      </c>
      <c r="C27" s="23" t="str">
        <f>VLOOKUP(B27,languages!B$2:I$33,VLOOKUP(C$77,languages!B$81:C$87,2))</f>
        <v>Serbia</v>
      </c>
      <c r="D27" s="23" t="s">
        <v>177</v>
      </c>
      <c r="E27" s="53" t="s">
        <v>185</v>
      </c>
      <c r="F27" s="54">
        <f t="shared" si="1"/>
        <v>0.66666666666666674</v>
      </c>
      <c r="G27" s="24">
        <f t="shared" si="0"/>
        <v>0.83333333333333337</v>
      </c>
      <c r="H27" s="24">
        <f t="shared" si="3"/>
        <v>1.6666666666666665</v>
      </c>
      <c r="I27" s="123" t="str">
        <f t="shared" si="2"/>
        <v>Time in Volgograd</v>
      </c>
      <c r="J27" s="171" t="str">
        <f>'Match data'!R13</f>
        <v>Volgograd Arena, Volgograd</v>
      </c>
      <c r="K27" s="124">
        <f ca="1">'Match data'!S13+O$13</f>
        <v>3</v>
      </c>
      <c r="Q27" s="23">
        <v>-8</v>
      </c>
    </row>
    <row r="28" spans="1:17" ht="15.75" thickBot="1" x14ac:dyDescent="0.3">
      <c r="A28" s="23" t="s">
        <v>40</v>
      </c>
      <c r="B28" s="23" t="s">
        <v>73</v>
      </c>
      <c r="C28" s="23" t="str">
        <f>VLOOKUP(B28,languages!B$2:I$33,VLOOKUP(C$77,languages!B$81:C$87,2))</f>
        <v>Switzerland</v>
      </c>
      <c r="D28" s="23" t="s">
        <v>176</v>
      </c>
      <c r="E28" s="55" t="s">
        <v>186</v>
      </c>
      <c r="F28" s="54">
        <f t="shared" si="1"/>
        <v>0.625</v>
      </c>
      <c r="G28" s="24">
        <f t="shared" si="0"/>
        <v>0.79166666666666663</v>
      </c>
      <c r="H28" s="24">
        <f t="shared" si="3"/>
        <v>1.6249999999999998</v>
      </c>
      <c r="Q28" s="23">
        <v>-9</v>
      </c>
    </row>
    <row r="29" spans="1:17" x14ac:dyDescent="0.25">
      <c r="A29" s="23" t="s">
        <v>40</v>
      </c>
      <c r="B29" s="23" t="s">
        <v>74</v>
      </c>
      <c r="C29" s="23" t="str">
        <f>VLOOKUP(B29,languages!B$2:I$33,VLOOKUP(C$77,languages!B$81:C$87,2))</f>
        <v>Cameroon</v>
      </c>
      <c r="D29" s="23" t="s">
        <v>201</v>
      </c>
    </row>
    <row r="30" spans="1:17" x14ac:dyDescent="0.25">
      <c r="A30" s="23" t="s">
        <v>40</v>
      </c>
      <c r="B30" s="23" t="s">
        <v>27</v>
      </c>
      <c r="C30" s="23" t="str">
        <f>VLOOKUP(B30,languages!B$2:I$33,VLOOKUP(C$77,languages!B$81:C$87,2))</f>
        <v>Portugal</v>
      </c>
      <c r="F30" s="26" t="s">
        <v>214</v>
      </c>
      <c r="H30" s="23">
        <f ca="1">RAND()</f>
        <v>0.62438928067549004</v>
      </c>
    </row>
    <row r="31" spans="1:17" x14ac:dyDescent="0.25">
      <c r="A31" s="23" t="s">
        <v>40</v>
      </c>
      <c r="B31" s="23" t="s">
        <v>28</v>
      </c>
      <c r="C31" s="23" t="str">
        <f>VLOOKUP(B31,languages!B$2:I$33,VLOOKUP(C$77,languages!B$81:C$87,2))</f>
        <v>Ghana</v>
      </c>
      <c r="F31" s="27">
        <v>0</v>
      </c>
      <c r="H31" s="23">
        <f ca="1">ROUNDDOWN(H30*J30,0)</f>
        <v>0</v>
      </c>
    </row>
    <row r="32" spans="1:17" x14ac:dyDescent="0.25">
      <c r="A32" s="23" t="s">
        <v>40</v>
      </c>
      <c r="B32" s="23" t="s">
        <v>29</v>
      </c>
      <c r="C32" s="23" t="str">
        <f>VLOOKUP(B32,languages!B$2:I$33,VLOOKUP(C$77,languages!B$81:C$87,2))</f>
        <v>Uruguay</v>
      </c>
      <c r="F32" s="27">
        <f>F31+1</f>
        <v>1</v>
      </c>
      <c r="G32" s="23">
        <f ca="1">RAND()</f>
        <v>0.19995882877772453</v>
      </c>
      <c r="H32" s="23">
        <v>0</v>
      </c>
      <c r="J32" s="25"/>
      <c r="K32" s="27"/>
    </row>
    <row r="33" spans="1:11" x14ac:dyDescent="0.25">
      <c r="A33" s="23" t="s">
        <v>40</v>
      </c>
      <c r="B33" s="23" t="s">
        <v>30</v>
      </c>
      <c r="C33" s="23" t="str">
        <f>VLOOKUP(B33,languages!B$2:I$33,VLOOKUP(C$77,languages!B$81:C$87,2))</f>
        <v>Korea Republic</v>
      </c>
      <c r="F33" s="27">
        <f t="shared" ref="F33:F51" si="4">F32+1</f>
        <v>2</v>
      </c>
      <c r="G33" s="23">
        <f ca="1">ROUNDDOWN(G32*20,0)</f>
        <v>3</v>
      </c>
      <c r="H33" s="23">
        <f>H32+1</f>
        <v>1</v>
      </c>
      <c r="J33" s="25"/>
      <c r="K33" s="27"/>
    </row>
    <row r="34" spans="1:11" x14ac:dyDescent="0.25">
      <c r="A34" s="23" t="s">
        <v>115</v>
      </c>
      <c r="B34" s="23" t="s">
        <v>109</v>
      </c>
      <c r="C34" s="28" t="str">
        <f>IF(D34=TRUE,IF(Wallchart!F82&lt;Wallchart!G82,Wallchart!E82,IF(Wallchart!F82=Wallchart!G82,IF(Wallchart!I82&gt;Wallchart!J82,Wallchart!H82,IF(Wallchart!I82&lt;Wallchart!J82,Wallchart!E82,"Correct Penalties")),Wallchart!H82)),B34)</f>
        <v>Loser Match 61</v>
      </c>
      <c r="D34" s="23" t="str">
        <f>IF(ISBLANK(Wallchart!F82)=TRUE,"",IF(ISBLANK(Wallchart!G82)=TRUE,"",TRUE))</f>
        <v/>
      </c>
      <c r="E34" s="23" t="s">
        <v>211</v>
      </c>
      <c r="F34" s="27">
        <f t="shared" si="4"/>
        <v>3</v>
      </c>
      <c r="G34" s="23">
        <f ca="1">RAND()</f>
        <v>9.5639513547413513E-2</v>
      </c>
      <c r="H34" s="23">
        <f t="shared" ref="H34:H51" si="5">H33+1</f>
        <v>2</v>
      </c>
      <c r="J34" s="25"/>
      <c r="K34" s="27"/>
    </row>
    <row r="35" spans="1:11" x14ac:dyDescent="0.25">
      <c r="A35" s="23" t="s">
        <v>115</v>
      </c>
      <c r="B35" s="23" t="s">
        <v>110</v>
      </c>
      <c r="C35" s="28" t="str">
        <f>IF(D35=TRUE,IF(Wallchart!F83&lt;Wallchart!G83,Wallchart!E83,IF(Wallchart!F83=Wallchart!G83,IF(Wallchart!I83&gt;Wallchart!J83,Wallchart!H83,IF(Wallchart!I83&lt;Wallchart!J83,Wallchart!E83,"Correct Penalties")),Wallchart!H83)),B35)</f>
        <v>Loser Match 62</v>
      </c>
      <c r="D35" s="23" t="str">
        <f>IF(ISBLANK(Wallchart!F83)=TRUE,"",IF(ISBLANK(Wallchart!G83)=TRUE,"",TRUE))</f>
        <v/>
      </c>
      <c r="E35" s="23" t="s">
        <v>212</v>
      </c>
      <c r="F35" s="27">
        <f t="shared" si="4"/>
        <v>4</v>
      </c>
      <c r="G35" s="23">
        <f ca="1">ROUNDDOWN(G34*20,0)</f>
        <v>1</v>
      </c>
      <c r="H35" s="23">
        <f t="shared" si="5"/>
        <v>3</v>
      </c>
      <c r="J35" s="25"/>
      <c r="K35" s="27"/>
    </row>
    <row r="36" spans="1:11" x14ac:dyDescent="0.25">
      <c r="A36" s="23" t="s">
        <v>115</v>
      </c>
      <c r="B36" s="23" t="s">
        <v>118</v>
      </c>
      <c r="C36" s="28" t="str">
        <f>IF(D36=TRUE,IF(Wallchart!F86&lt;Wallchart!G86,Wallchart!E86,IF(Wallchart!F86=Wallchart!G86,IF(Wallchart!I86&gt;Wallchart!J86,Wallchart!H86,IF(Wallchart!I86&lt;Wallchart!J86,Wallchart!E86,"Correct Penalties")),Wallchart!H86)),B36)</f>
        <v>Loser Match 63</v>
      </c>
      <c r="D36" s="23" t="str">
        <f>IF(ISBLANK(Wallchart!F86)=TRUE,"",IF(ISBLANK(Wallchart!G86)=TRUE,"",TRUE))</f>
        <v/>
      </c>
      <c r="E36" s="23" t="s">
        <v>210</v>
      </c>
      <c r="F36" s="27">
        <f t="shared" si="4"/>
        <v>5</v>
      </c>
      <c r="G36" s="23">
        <f ca="1">RAND()</f>
        <v>6.4069517007328991E-2</v>
      </c>
      <c r="H36" s="23">
        <f t="shared" si="5"/>
        <v>4</v>
      </c>
      <c r="J36" s="25"/>
      <c r="K36" s="27"/>
    </row>
    <row r="37" spans="1:11" x14ac:dyDescent="0.25">
      <c r="A37" s="23" t="s">
        <v>115</v>
      </c>
      <c r="B37" s="23" t="s">
        <v>119</v>
      </c>
      <c r="C37" s="28" t="str">
        <f>IF(D37=TRUE,IF(Wallchart!F89&lt;Wallchart!G89,Wallchart!E89,IF(Wallchart!F89=Wallchart!G89,IF(Wallchart!I89&gt;Wallchart!J89,Wallchart!H89,IF(Wallchart!I89&lt;Wallchart!J89,Wallchart!E89,"Correct Penalties")),Wallchart!H89)),B37)</f>
        <v>Loser Match 64</v>
      </c>
      <c r="D37" s="23" t="str">
        <f>IF(ISBLANK(Wallchart!F89)=TRUE,"",IF(ISBLANK(Wallchart!G89)=TRUE,"",TRUE))</f>
        <v/>
      </c>
      <c r="E37" s="23" t="s">
        <v>208</v>
      </c>
      <c r="F37" s="27">
        <f t="shared" si="4"/>
        <v>6</v>
      </c>
      <c r="G37" s="23">
        <f ca="1">ROUNDDOWN(G36*20,0)</f>
        <v>1</v>
      </c>
      <c r="H37" s="23">
        <f t="shared" si="5"/>
        <v>5</v>
      </c>
      <c r="J37" s="25"/>
      <c r="K37" s="27"/>
    </row>
    <row r="38" spans="1:11" x14ac:dyDescent="0.25">
      <c r="A38" s="23" t="s">
        <v>115</v>
      </c>
      <c r="B38" s="23" t="s">
        <v>83</v>
      </c>
      <c r="C38" s="23" t="str">
        <f>IF(SUM(GrpA!I3:I8)=6,GrpA!C13,"Runner-up Group A")</f>
        <v>Runner-up Group A</v>
      </c>
      <c r="F38" s="27">
        <f t="shared" si="4"/>
        <v>7</v>
      </c>
      <c r="G38" s="23">
        <f ca="1">RAND()</f>
        <v>0.84965796415375106</v>
      </c>
      <c r="H38" s="23">
        <f t="shared" si="5"/>
        <v>6</v>
      </c>
      <c r="J38" s="25"/>
      <c r="K38" s="27"/>
    </row>
    <row r="39" spans="1:11" x14ac:dyDescent="0.25">
      <c r="A39" s="23" t="s">
        <v>115</v>
      </c>
      <c r="B39" s="23" t="s">
        <v>79</v>
      </c>
      <c r="C39" s="23" t="str">
        <f>IF(SUM(GrpB!I3:I8)=6,GrpB!C13,"Runner-up Group B")</f>
        <v>Runner-up Group B</v>
      </c>
      <c r="F39" s="27">
        <f t="shared" si="4"/>
        <v>8</v>
      </c>
      <c r="G39" s="23">
        <f ca="1">ROUNDDOWN(G38*20,0)</f>
        <v>16</v>
      </c>
      <c r="H39" s="23">
        <f t="shared" si="5"/>
        <v>7</v>
      </c>
      <c r="J39" s="25"/>
      <c r="K39" s="27"/>
    </row>
    <row r="40" spans="1:11" x14ac:dyDescent="0.25">
      <c r="A40" s="23" t="s">
        <v>115</v>
      </c>
      <c r="B40" s="23" t="s">
        <v>85</v>
      </c>
      <c r="C40" s="23" t="str">
        <f>IF(SUM(GrpC!I3:I8)=6,GrpC!C13,"Runner-up Group C")</f>
        <v>Runner-up Group C</v>
      </c>
      <c r="F40" s="27">
        <f t="shared" si="4"/>
        <v>9</v>
      </c>
      <c r="G40" s="23">
        <f ca="1">RAND()</f>
        <v>0.27683283797614355</v>
      </c>
      <c r="H40" s="23">
        <f t="shared" si="5"/>
        <v>8</v>
      </c>
      <c r="J40" s="25"/>
      <c r="K40" s="27"/>
    </row>
    <row r="41" spans="1:11" x14ac:dyDescent="0.25">
      <c r="A41" s="23" t="s">
        <v>115</v>
      </c>
      <c r="B41" s="23" t="s">
        <v>81</v>
      </c>
      <c r="C41" s="23" t="str">
        <f>IF(SUM(GrpD!I3:I8)=6,GrpD!C13,"Runner-up Group D")</f>
        <v>Runner-up Group D</v>
      </c>
      <c r="F41" s="27">
        <f t="shared" si="4"/>
        <v>10</v>
      </c>
      <c r="G41" s="23">
        <f ca="1">ROUNDDOWN(G40*20,0)</f>
        <v>5</v>
      </c>
      <c r="H41" s="23">
        <f t="shared" si="5"/>
        <v>9</v>
      </c>
      <c r="J41" s="25"/>
      <c r="K41" s="27"/>
    </row>
    <row r="42" spans="1:11" x14ac:dyDescent="0.25">
      <c r="A42" s="23" t="s">
        <v>115</v>
      </c>
      <c r="B42" s="23" t="s">
        <v>91</v>
      </c>
      <c r="C42" s="23" t="str">
        <f>IF(SUM(GrpE!I3:I8)=6,GrpE!C13,"Runner-up Group E")</f>
        <v>Runner-up Group E</v>
      </c>
      <c r="F42" s="27">
        <f t="shared" si="4"/>
        <v>11</v>
      </c>
      <c r="G42" s="23">
        <f ca="1">RAND()</f>
        <v>4.1712565430064741E-2</v>
      </c>
      <c r="H42" s="23">
        <f t="shared" si="5"/>
        <v>10</v>
      </c>
      <c r="J42" s="25"/>
      <c r="K42" s="27"/>
    </row>
    <row r="43" spans="1:11" x14ac:dyDescent="0.25">
      <c r="A43" s="23" t="s">
        <v>115</v>
      </c>
      <c r="B43" s="23" t="s">
        <v>87</v>
      </c>
      <c r="C43" s="23" t="str">
        <f>IF(SUM(GrpF!I3:I8)=6,GrpF!C13,"Runner-up Group F")</f>
        <v>Runner-up Group F</v>
      </c>
      <c r="F43" s="27">
        <f t="shared" si="4"/>
        <v>12</v>
      </c>
      <c r="G43" s="23">
        <f ca="1">ROUNDDOWN(G42*20,0)</f>
        <v>0</v>
      </c>
      <c r="H43" s="23">
        <f t="shared" si="5"/>
        <v>11</v>
      </c>
      <c r="J43" s="25"/>
      <c r="K43" s="27"/>
    </row>
    <row r="44" spans="1:11" x14ac:dyDescent="0.25">
      <c r="A44" s="23" t="s">
        <v>115</v>
      </c>
      <c r="B44" s="23" t="s">
        <v>93</v>
      </c>
      <c r="C44" s="23" t="str">
        <f>IF(SUM(GrpG!I3:I8)=6,GrpG!C13,"Runner-up Group G")</f>
        <v>Runner-up Group G</v>
      </c>
      <c r="F44" s="27">
        <f t="shared" si="4"/>
        <v>13</v>
      </c>
      <c r="G44" s="23">
        <f ca="1">RAND()</f>
        <v>5.7757340144116709E-2</v>
      </c>
      <c r="H44" s="23">
        <f t="shared" si="5"/>
        <v>12</v>
      </c>
      <c r="J44" s="25"/>
      <c r="K44" s="27"/>
    </row>
    <row r="45" spans="1:11" x14ac:dyDescent="0.25">
      <c r="A45" s="23" t="s">
        <v>115</v>
      </c>
      <c r="B45" s="23" t="s">
        <v>89</v>
      </c>
      <c r="C45" s="23" t="str">
        <f>IF(SUM(GrpH!I3:I8)=6,GrpH!C13,"Runner-up Group H")</f>
        <v>Runner-up Group H</v>
      </c>
      <c r="F45" s="27">
        <f t="shared" si="4"/>
        <v>14</v>
      </c>
      <c r="G45" s="23">
        <f ca="1">ROUNDDOWN(G44*20,0)</f>
        <v>1</v>
      </c>
      <c r="H45" s="23">
        <f t="shared" si="5"/>
        <v>13</v>
      </c>
      <c r="J45" s="25"/>
      <c r="K45" s="27"/>
    </row>
    <row r="46" spans="1:11" x14ac:dyDescent="0.25">
      <c r="A46" s="23" t="s">
        <v>115</v>
      </c>
      <c r="B46" s="23" t="s">
        <v>78</v>
      </c>
      <c r="C46" s="23" t="str">
        <f>IF(SUM(GrpA!I3:I8)=6,GrpA!C12,"Winner Group A")</f>
        <v>Winner Group A</v>
      </c>
      <c r="F46" s="27">
        <f t="shared" si="4"/>
        <v>15</v>
      </c>
      <c r="G46" s="23">
        <f ca="1">RAND()</f>
        <v>0.57575342429905851</v>
      </c>
      <c r="H46" s="23">
        <f t="shared" si="5"/>
        <v>14</v>
      </c>
      <c r="J46" s="25"/>
      <c r="K46" s="27"/>
    </row>
    <row r="47" spans="1:11" x14ac:dyDescent="0.25">
      <c r="A47" s="23" t="s">
        <v>115</v>
      </c>
      <c r="B47" s="23" t="s">
        <v>82</v>
      </c>
      <c r="C47" s="23" t="str">
        <f>IF(SUM(GrpB!I3:I8)=6,GrpB!C12,"Winner Group B")</f>
        <v>Winner Group B</v>
      </c>
      <c r="F47" s="27">
        <f t="shared" si="4"/>
        <v>16</v>
      </c>
      <c r="G47" s="23">
        <f ca="1">ROUNDDOWN(G46*20,0)</f>
        <v>11</v>
      </c>
      <c r="H47" s="23">
        <f t="shared" si="5"/>
        <v>15</v>
      </c>
      <c r="J47" s="25"/>
      <c r="K47" s="27"/>
    </row>
    <row r="48" spans="1:11" x14ac:dyDescent="0.25">
      <c r="A48" s="23" t="s">
        <v>115</v>
      </c>
      <c r="B48" s="23" t="s">
        <v>80</v>
      </c>
      <c r="C48" s="23" t="str">
        <f>IF(SUM(GrpC!I3:I8)=6,GrpC!C12,"Winner Group C")</f>
        <v>Winner Group C</v>
      </c>
      <c r="F48" s="27">
        <f t="shared" si="4"/>
        <v>17</v>
      </c>
      <c r="G48" s="23">
        <f ca="1">RAND()</f>
        <v>0.88249929912367131</v>
      </c>
      <c r="H48" s="23">
        <f t="shared" si="5"/>
        <v>16</v>
      </c>
      <c r="J48" s="25"/>
      <c r="K48" s="27"/>
    </row>
    <row r="49" spans="1:11" x14ac:dyDescent="0.25">
      <c r="A49" s="23" t="s">
        <v>115</v>
      </c>
      <c r="B49" s="23" t="s">
        <v>84</v>
      </c>
      <c r="C49" s="23" t="str">
        <f>IF(SUM(GrpD!I3:I8)=6,GrpD!C12,"Winner Group D")</f>
        <v>Winner Group D</v>
      </c>
      <c r="F49" s="27">
        <f t="shared" si="4"/>
        <v>18</v>
      </c>
      <c r="G49" s="23">
        <f ca="1">ROUNDDOWN(G48*20,0)</f>
        <v>17</v>
      </c>
      <c r="H49" s="23">
        <f t="shared" si="5"/>
        <v>17</v>
      </c>
      <c r="J49" s="25"/>
      <c r="K49" s="27"/>
    </row>
    <row r="50" spans="1:11" x14ac:dyDescent="0.25">
      <c r="A50" s="23" t="s">
        <v>115</v>
      </c>
      <c r="B50" s="23" t="s">
        <v>86</v>
      </c>
      <c r="C50" s="23" t="str">
        <f>IF(SUM(GrpE!I3:I8)=6,GrpE!C12,"Winner Group E")</f>
        <v>Winner Group E</v>
      </c>
      <c r="F50" s="27">
        <f t="shared" si="4"/>
        <v>19</v>
      </c>
      <c r="G50" s="23">
        <f ca="1">RAND()</f>
        <v>0.45571402892507684</v>
      </c>
      <c r="H50" s="23">
        <f t="shared" si="5"/>
        <v>18</v>
      </c>
      <c r="J50" s="25"/>
      <c r="K50" s="27"/>
    </row>
    <row r="51" spans="1:11" x14ac:dyDescent="0.25">
      <c r="A51" s="23" t="s">
        <v>115</v>
      </c>
      <c r="B51" s="23" t="s">
        <v>90</v>
      </c>
      <c r="C51" s="23" t="str">
        <f>IF(SUM(GrpF!I3:I8)=6,GrpF!C12,"Winner Group F")</f>
        <v>Winner Group F</v>
      </c>
      <c r="F51" s="27">
        <f t="shared" si="4"/>
        <v>20</v>
      </c>
      <c r="G51" s="23">
        <f ca="1">ROUNDDOWN(G50*20,0)</f>
        <v>9</v>
      </c>
      <c r="H51" s="23">
        <f t="shared" si="5"/>
        <v>19</v>
      </c>
      <c r="J51" s="25"/>
      <c r="K51" s="27"/>
    </row>
    <row r="52" spans="1:11" x14ac:dyDescent="0.25">
      <c r="A52" s="23" t="s">
        <v>115</v>
      </c>
      <c r="B52" s="23" t="s">
        <v>88</v>
      </c>
      <c r="C52" s="23" t="str">
        <f>IF(SUM(GrpG!I3:I8)=6,GrpG!C12,"Winner Group G")</f>
        <v>Winner Group G</v>
      </c>
      <c r="E52" s="28"/>
      <c r="F52" s="27"/>
    </row>
    <row r="53" spans="1:11" x14ac:dyDescent="0.25">
      <c r="A53" s="23" t="s">
        <v>115</v>
      </c>
      <c r="B53" s="23" t="s">
        <v>92</v>
      </c>
      <c r="C53" s="23" t="str">
        <f>IF(SUM(GrpH!I3:I8)=6,GrpH!C12,"Winner Group H")</f>
        <v>Winner Group H</v>
      </c>
      <c r="D53" s="23" t="s">
        <v>206</v>
      </c>
      <c r="E53" s="28"/>
      <c r="F53" s="27"/>
    </row>
    <row r="54" spans="1:11" x14ac:dyDescent="0.25">
      <c r="A54" s="23" t="s">
        <v>115</v>
      </c>
      <c r="B54" s="23" t="s">
        <v>95</v>
      </c>
      <c r="C54" s="23" t="str">
        <f>IF(D54=TRUE,IF(Wallchart!F66&gt;Wallchart!G66,Wallchart!E66,IF(Wallchart!F66=Wallchart!G66,IF(Wallchart!I66&gt;Wallchart!J66,Wallchart!E66,IF(Wallchart!I66&lt;Wallchart!J66,Wallchart!H66,"Correct Penalties")),Wallchart!H66)),B54)</f>
        <v>Winner Match 49</v>
      </c>
      <c r="D54" s="23" t="str">
        <f>IF(ISBLANK(Wallchart!F66)=TRUE,"",IF(ISBLANK(Wallchart!G66)=TRUE,"",TRUE))</f>
        <v/>
      </c>
      <c r="F54" s="27" t="s">
        <v>220</v>
      </c>
      <c r="G54" s="23">
        <f ca="1">ROUNDDOWN(Wallchart!C17-Wallchart!P2,0)</f>
        <v>3</v>
      </c>
      <c r="I54" s="25"/>
    </row>
    <row r="55" spans="1:11" x14ac:dyDescent="0.25">
      <c r="A55" s="23" t="s">
        <v>115</v>
      </c>
      <c r="B55" s="23" t="s">
        <v>96</v>
      </c>
      <c r="C55" s="23" t="str">
        <f>IF(D55=TRUE,IF(Wallchart!F67&gt;Wallchart!G67,Wallchart!E67,IF(Wallchart!F67=Wallchart!G67,IF(Wallchart!I67&gt;Wallchart!J67,Wallchart!E67,IF(Wallchart!I67&lt;Wallchart!J67,Wallchart!H67,"Correct Penalties")),Wallchart!H67)),B55)</f>
        <v>Winner Match 50</v>
      </c>
      <c r="D55" s="23" t="str">
        <f>IF(ISBLANK(Wallchart!F67)=TRUE,"",IF(ISBLANK(Wallchart!G67)=TRUE,"",TRUE))</f>
        <v/>
      </c>
      <c r="F55" s="27" t="s">
        <v>221</v>
      </c>
      <c r="G55" s="23">
        <f ca="1">ROUNDDOWN((Wallchart!C17-Wallchart!P2-G54)*24,0)</f>
        <v>23</v>
      </c>
    </row>
    <row r="56" spans="1:11" x14ac:dyDescent="0.25">
      <c r="A56" s="23" t="s">
        <v>115</v>
      </c>
      <c r="B56" s="23" t="s">
        <v>99</v>
      </c>
      <c r="C56" s="23" t="str">
        <f>IF(D56=TRUE,IF(Wallchart!F69&gt;Wallchart!G69,Wallchart!E69,IF(Wallchart!F69=Wallchart!G69,IF(Wallchart!I69&gt;Wallchart!J69,Wallchart!E69,IF(Wallchart!I69&lt;Wallchart!J69,Wallchart!H69,"Correct Penalties")),Wallchart!H69)),B56)</f>
        <v>Winner Match 51</v>
      </c>
      <c r="D56" s="23" t="str">
        <f>IF(ISBLANK(Wallchart!F69)=TRUE,"",IF(ISBLANK(Wallchart!G69)=TRUE,"",TRUE))</f>
        <v/>
      </c>
      <c r="F56" s="27" t="s">
        <v>222</v>
      </c>
      <c r="G56" s="23">
        <f ca="1">ROUNDDOWN(((Wallchart!C17-Wallchart!P2)*24*60)-G54*24*60-G55*60,0)</f>
        <v>53</v>
      </c>
    </row>
    <row r="57" spans="1:11" x14ac:dyDescent="0.25">
      <c r="A57" s="23" t="s">
        <v>115</v>
      </c>
      <c r="B57" s="23" t="s">
        <v>100</v>
      </c>
      <c r="C57" s="23" t="str">
        <f>IF(D57=TRUE,IF(Wallchart!F68&gt;Wallchart!G68,Wallchart!E68,IF(Wallchart!F68=Wallchart!G68,IF(Wallchart!I68&gt;Wallchart!J68,Wallchart!E68,IF(Wallchart!I68&lt;Wallchart!J68,Wallchart!H68,"Correct Penalties")),Wallchart!H68)),B57)</f>
        <v>Winner Match 52</v>
      </c>
      <c r="D57" s="23" t="str">
        <f>IF(ISBLANK(Wallchart!F68)=TRUE,"",IF(ISBLANK(Wallchart!G68)=TRUE,"",TRUE))</f>
        <v/>
      </c>
      <c r="F57" s="27" t="s">
        <v>223</v>
      </c>
      <c r="G57" s="23">
        <f ca="1">ROUNDDOWN((Wallchart!C17-Wallchart!P2)*24*60*60-G54*24*60*60-G55*60*60-G56*60,0)</f>
        <v>10</v>
      </c>
    </row>
    <row r="58" spans="1:11" x14ac:dyDescent="0.25">
      <c r="A58" s="23" t="s">
        <v>115</v>
      </c>
      <c r="B58" s="23" t="s">
        <v>97</v>
      </c>
      <c r="C58" s="23" t="str">
        <f>IF(D58=TRUE,IF(Wallchart!F70&gt;Wallchart!G70,Wallchart!E70,IF(Wallchart!F70=Wallchart!G70,IF(Wallchart!I70&gt;Wallchart!J70,Wallchart!E70,IF(Wallchart!I70&lt;Wallchart!J70,Wallchart!H70,"Correct Penalties")),Wallchart!H70)),B58)</f>
        <v>Winner Match 53</v>
      </c>
      <c r="D58" s="23" t="str">
        <f>IF(ISBLANK(Wallchart!F70)=TRUE,"",IF(ISBLANK(Wallchart!G70)=TRUE,"",TRUE))</f>
        <v/>
      </c>
      <c r="F58" s="27"/>
    </row>
    <row r="59" spans="1:11" x14ac:dyDescent="0.25">
      <c r="A59" s="23" t="s">
        <v>115</v>
      </c>
      <c r="B59" s="23" t="s">
        <v>98</v>
      </c>
      <c r="C59" s="23" t="str">
        <f>IF(D59=TRUE,IF(Wallchart!F71&gt;Wallchart!G71,Wallchart!E71,IF(Wallchart!F71=Wallchart!G71,IF(Wallchart!I71&gt;Wallchart!J71,Wallchart!E71,IF(Wallchart!I71&lt;Wallchart!J71,Wallchart!H71,"Correct Penalties")),Wallchart!H71)),B59)</f>
        <v>Winner Match 54</v>
      </c>
      <c r="D59" s="23" t="str">
        <f>IF(ISBLANK(Wallchart!F71)=TRUE,"",IF(ISBLANK(Wallchart!G71)=TRUE,"",TRUE))</f>
        <v/>
      </c>
      <c r="F59" s="27"/>
      <c r="H59" s="23">
        <f ca="1">RAND()</f>
        <v>0.74126040074008248</v>
      </c>
      <c r="I59" s="29"/>
    </row>
    <row r="60" spans="1:11" x14ac:dyDescent="0.25">
      <c r="A60" s="23" t="s">
        <v>115</v>
      </c>
      <c r="B60" s="23" t="s">
        <v>101</v>
      </c>
      <c r="C60" s="23" t="str">
        <f>IF(D60=TRUE,IF(Wallchart!F72&gt;Wallchart!G72,Wallchart!E72,IF(Wallchart!F72=Wallchart!G72,IF(Wallchart!I72&gt;Wallchart!J72,Wallchart!E72,IF(Wallchart!I72&lt;Wallchart!J72,Wallchart!H72,"Correct Penalties")),Wallchart!H72)),B60)</f>
        <v>Winner Match 55</v>
      </c>
      <c r="D60" s="23" t="str">
        <f>IF(ISBLANK(Wallchart!F72)=TRUE,"",IF(ISBLANK(Wallchart!G72)=TRUE,"",TRUE))</f>
        <v/>
      </c>
      <c r="F60" s="27"/>
      <c r="H60" s="23">
        <f ca="1">ROUNDDOWN(H59*J59,0)</f>
        <v>0</v>
      </c>
    </row>
    <row r="61" spans="1:11" x14ac:dyDescent="0.25">
      <c r="A61" s="23" t="s">
        <v>115</v>
      </c>
      <c r="B61" s="23" t="s">
        <v>102</v>
      </c>
      <c r="C61" s="23" t="str">
        <f>IF(D61=TRUE,IF(Wallchart!F73&gt;Wallchart!G73,Wallchart!E73,IF(Wallchart!F73=Wallchart!G73,IF(Wallchart!I73&gt;Wallchart!J73,Wallchart!E73,IF(Wallchart!I73&lt;Wallchart!J73,Wallchart!H73,"Correct Penalties")),Wallchart!H73)),B61)</f>
        <v>Winner Match 56</v>
      </c>
      <c r="D61" s="23" t="str">
        <f>IF(ISBLANK(Wallchart!F73)=TRUE,"",IF(ISBLANK(Wallchart!G73)=TRUE,"",TRUE))</f>
        <v/>
      </c>
      <c r="F61" s="27"/>
      <c r="H61" s="23">
        <v>0</v>
      </c>
      <c r="J61" s="25"/>
    </row>
    <row r="62" spans="1:11" x14ac:dyDescent="0.25">
      <c r="A62" s="23" t="s">
        <v>115</v>
      </c>
      <c r="B62" s="23" t="s">
        <v>104</v>
      </c>
      <c r="C62" s="23" t="str">
        <f>IF(D62=TRUE,IF(Wallchart!F76&gt;Wallchart!G76,Wallchart!E76,IF(Wallchart!F76=Wallchart!G76,IF(Wallchart!I76&gt;Wallchart!J76,Wallchart!E76,IF(Wallchart!I76&lt;Wallchart!J76,Wallchart!H76,"Correct Penalties")),Wallchart!H76)),B62)</f>
        <v>Winner Match 57</v>
      </c>
      <c r="D62" s="23" t="str">
        <f>IF(ISBLANK(Wallchart!F76)=TRUE,"",IF(ISBLANK(Wallchart!G76)=TRUE,"",TRUE))</f>
        <v/>
      </c>
      <c r="F62" s="27"/>
      <c r="H62" s="23">
        <v>1</v>
      </c>
      <c r="J62" s="25"/>
    </row>
    <row r="63" spans="1:11" x14ac:dyDescent="0.25">
      <c r="A63" s="23" t="s">
        <v>115</v>
      </c>
      <c r="B63" s="23" t="s">
        <v>105</v>
      </c>
      <c r="C63" s="23" t="str">
        <f>IF(D63=TRUE,IF(Wallchart!F77&gt;Wallchart!G77,Wallchart!E77,IF(Wallchart!F77=Wallchart!G77,IF(Wallchart!I77&gt;Wallchart!J77,Wallchart!E77,IF(Wallchart!I77&lt;Wallchart!J77,Wallchart!H77,"Correct Penalties")),Wallchart!H77)),B63)</f>
        <v>Winner Match 58</v>
      </c>
      <c r="D63" s="23" t="str">
        <f>IF(ISBLANK(Wallchart!F77)=TRUE,"",IF(ISBLANK(Wallchart!G77)=TRUE,"",TRUE))</f>
        <v/>
      </c>
      <c r="F63" s="27"/>
      <c r="H63" s="23">
        <v>2</v>
      </c>
      <c r="J63" s="25"/>
    </row>
    <row r="64" spans="1:11" x14ac:dyDescent="0.25">
      <c r="A64" s="23" t="s">
        <v>115</v>
      </c>
      <c r="B64" s="23" t="s">
        <v>106</v>
      </c>
      <c r="C64" s="23" t="str">
        <f>IF(D64=TRUE,IF(Wallchart!F79&gt;Wallchart!G79,Wallchart!E79,IF(Wallchart!F79=Wallchart!G79,IF(Wallchart!I79&gt;Wallchart!J79,Wallchart!E79,IF(Wallchart!I79&lt;Wallchart!J79,Wallchart!H79,"Correct Penalties")),Wallchart!H79)),B64)</f>
        <v>Winner Match 59</v>
      </c>
      <c r="D64" s="23" t="str">
        <f>IF(ISBLANK(Wallchart!F79)=TRUE,"",IF(ISBLANK(Wallchart!G79)=TRUE,"",TRUE))</f>
        <v/>
      </c>
      <c r="F64" s="27"/>
      <c r="H64" s="23">
        <v>3</v>
      </c>
      <c r="J64" s="172"/>
    </row>
    <row r="65" spans="1:10" x14ac:dyDescent="0.25">
      <c r="A65" s="23" t="s">
        <v>115</v>
      </c>
      <c r="B65" s="23" t="s">
        <v>107</v>
      </c>
      <c r="C65" s="23" t="str">
        <f>IF(D65=TRUE,IF(Wallchart!F78&gt;Wallchart!G78,Wallchart!E78,IF(Wallchart!F78=Wallchart!G78,IF(Wallchart!I78&gt;Wallchart!J78,Wallchart!E78,IF(Wallchart!I78&lt;Wallchart!J78,Wallchart!H78,"Correct Penalties")),Wallchart!H78)),B65)</f>
        <v>Winner Match 60</v>
      </c>
      <c r="D65" s="23" t="str">
        <f>IF(ISBLANK(Wallchart!F78)=TRUE,"",IF(ISBLANK(Wallchart!G78)=TRUE,"",TRUE))</f>
        <v/>
      </c>
      <c r="F65" s="27"/>
      <c r="H65" s="23">
        <v>4</v>
      </c>
      <c r="J65" s="172"/>
    </row>
    <row r="66" spans="1:10" x14ac:dyDescent="0.25">
      <c r="A66" s="23" t="s">
        <v>115</v>
      </c>
      <c r="B66" s="23" t="s">
        <v>112</v>
      </c>
      <c r="C66" s="23" t="str">
        <f>IF(D66=TRUE,IF(Wallchart!F82&gt;Wallchart!G82,Wallchart!E82,IF(Wallchart!F82=Wallchart!G82,IF(Wallchart!I82&gt;Wallchart!J82,Wallchart!E82,IF(Wallchart!I82&lt;Wallchart!J82,Wallchart!H82,"Correct Penalties")),Wallchart!H82)),B66)</f>
        <v>Winner Match 61</v>
      </c>
      <c r="D66" s="23" t="str">
        <f>IF(ISBLANK(Wallchart!F82)=TRUE,"",IF(ISBLANK(Wallchart!G82)=TRUE,"",TRUE))</f>
        <v/>
      </c>
      <c r="F66" s="27"/>
      <c r="H66" s="23">
        <v>5</v>
      </c>
      <c r="J66" s="172"/>
    </row>
    <row r="67" spans="1:10" x14ac:dyDescent="0.25">
      <c r="A67" s="23" t="s">
        <v>115</v>
      </c>
      <c r="B67" s="23" t="s">
        <v>113</v>
      </c>
      <c r="C67" s="23" t="str">
        <f>IF(D67=TRUE,IF(Wallchart!F83&gt;Wallchart!G83,Wallchart!E83,IF(Wallchart!F83=Wallchart!G83,IF(Wallchart!I83&gt;Wallchart!J83,Wallchart!E83,IF(Wallchart!I83&lt;Wallchart!J83,Wallchart!H83,"Correct Penalties")),Wallchart!H83)),B67)</f>
        <v>Winner Match 62</v>
      </c>
      <c r="D67" s="23" t="str">
        <f>IF(ISBLANK(Wallchart!F83)=TRUE,"",IF(ISBLANK(Wallchart!G83)=TRUE,"",TRUE))</f>
        <v/>
      </c>
      <c r="F67" s="27"/>
      <c r="H67" s="23">
        <v>6</v>
      </c>
      <c r="J67" s="25"/>
    </row>
    <row r="68" spans="1:10" x14ac:dyDescent="0.25">
      <c r="A68" s="23" t="s">
        <v>115</v>
      </c>
      <c r="B68" s="23" t="s">
        <v>116</v>
      </c>
      <c r="C68" s="23" t="str">
        <f>IF(D68=TRUE,IF(Wallchart!F86&gt;Wallchart!G86,Wallchart!E86,IF(Wallchart!F86=Wallchart!G86,IF(Wallchart!I86&gt;Wallchart!J86,Wallchart!E86,IF(Wallchart!I86&lt;Wallchart!J86,Wallchart!H86,"Correct Penalties")),Wallchart!H86)),B68)</f>
        <v>Winner Match 63</v>
      </c>
      <c r="D68" s="23" t="str">
        <f>IF(ISBLANK(Wallchart!F86)=TRUE,"",IF(ISBLANK(Wallchart!G86)=TRUE,"",TRUE))</f>
        <v/>
      </c>
      <c r="E68" s="23" t="s">
        <v>209</v>
      </c>
      <c r="H68" s="23">
        <v>7</v>
      </c>
      <c r="J68" s="25"/>
    </row>
    <row r="69" spans="1:10" x14ac:dyDescent="0.25">
      <c r="A69" s="23" t="s">
        <v>115</v>
      </c>
      <c r="B69" s="23" t="s">
        <v>117</v>
      </c>
      <c r="C69" s="23" t="str">
        <f>IF(D69=TRUE,IF(Wallchart!F89&gt;Wallchart!G89,Wallchart!E89,IF(Wallchart!F89=Wallchart!G89,IF(Wallchart!I89&gt;Wallchart!J89,Wallchart!E89,IF(Wallchart!I89&lt;Wallchart!J89,Wallchart!H89,"Correct Penalties")),Wallchart!H89)),B69)</f>
        <v>Winner Match 64</v>
      </c>
      <c r="D69" s="23" t="str">
        <f>IF(ISBLANK(Wallchart!F89)=TRUE,"",IF(ISBLANK(Wallchart!G89)=TRUE,"",TRUE))</f>
        <v/>
      </c>
      <c r="E69" s="23" t="s">
        <v>207</v>
      </c>
      <c r="H69" s="23">
        <v>8</v>
      </c>
      <c r="J69" s="25"/>
    </row>
    <row r="70" spans="1:10" x14ac:dyDescent="0.25">
      <c r="H70" s="23">
        <v>9</v>
      </c>
      <c r="J70" s="25"/>
    </row>
    <row r="71" spans="1:10" x14ac:dyDescent="0.25">
      <c r="H71" s="23">
        <v>10</v>
      </c>
      <c r="J71" s="25"/>
    </row>
    <row r="72" spans="1:10" x14ac:dyDescent="0.25">
      <c r="H72" s="23">
        <v>11</v>
      </c>
      <c r="J72" s="25"/>
    </row>
    <row r="73" spans="1:10" x14ac:dyDescent="0.25">
      <c r="H73" s="23">
        <v>12</v>
      </c>
      <c r="J73" s="25"/>
    </row>
    <row r="74" spans="1:10" x14ac:dyDescent="0.25">
      <c r="H74" s="23">
        <v>13</v>
      </c>
      <c r="J74" s="25"/>
    </row>
    <row r="75" spans="1:10" x14ac:dyDescent="0.25">
      <c r="H75" s="23">
        <v>14</v>
      </c>
      <c r="J75" s="25"/>
    </row>
    <row r="76" spans="1:10" x14ac:dyDescent="0.25">
      <c r="H76" s="23">
        <v>15</v>
      </c>
      <c r="J76" s="25"/>
    </row>
    <row r="77" spans="1:10" x14ac:dyDescent="0.25">
      <c r="C77" s="23" t="str">
        <f>Wallchart!P4</f>
        <v>English</v>
      </c>
      <c r="H77" s="23">
        <v>16</v>
      </c>
      <c r="J77" s="25"/>
    </row>
    <row r="78" spans="1:10" x14ac:dyDescent="0.25">
      <c r="H78" s="23">
        <v>17</v>
      </c>
      <c r="J78" s="25"/>
    </row>
    <row r="79" spans="1:10" x14ac:dyDescent="0.25">
      <c r="H79" s="23">
        <v>18</v>
      </c>
      <c r="J79" s="25"/>
    </row>
    <row r="80" spans="1:10" x14ac:dyDescent="0.25">
      <c r="H80" s="23">
        <v>19</v>
      </c>
      <c r="J80" s="25"/>
    </row>
    <row r="83" spans="8:10" x14ac:dyDescent="0.25">
      <c r="I83" s="25"/>
    </row>
    <row r="84" spans="8:10" x14ac:dyDescent="0.25">
      <c r="H84" s="23">
        <f ca="1">RAND()</f>
        <v>0.97652984454799963</v>
      </c>
    </row>
    <row r="85" spans="8:10" x14ac:dyDescent="0.25">
      <c r="H85" s="23">
        <f ca="1">ROUNDDOWN(H84*J84,0)</f>
        <v>0</v>
      </c>
    </row>
    <row r="86" spans="8:10" x14ac:dyDescent="0.25">
      <c r="H86" s="23">
        <v>0</v>
      </c>
      <c r="J86" s="25"/>
    </row>
    <row r="87" spans="8:10" x14ac:dyDescent="0.25">
      <c r="H87" s="23">
        <v>1</v>
      </c>
      <c r="J87" s="25"/>
    </row>
    <row r="88" spans="8:10" x14ac:dyDescent="0.25">
      <c r="H88" s="23">
        <v>2</v>
      </c>
      <c r="J88" s="25"/>
    </row>
    <row r="89" spans="8:10" x14ac:dyDescent="0.25">
      <c r="H89" s="23">
        <v>3</v>
      </c>
      <c r="J89" s="25"/>
    </row>
    <row r="90" spans="8:10" x14ac:dyDescent="0.25">
      <c r="H90" s="23">
        <v>4</v>
      </c>
      <c r="J90" s="25"/>
    </row>
    <row r="91" spans="8:10" x14ac:dyDescent="0.25">
      <c r="H91" s="23">
        <v>5</v>
      </c>
      <c r="J91" s="25"/>
    </row>
    <row r="92" spans="8:10" x14ac:dyDescent="0.25">
      <c r="H92" s="23">
        <v>6</v>
      </c>
      <c r="J92" s="25"/>
    </row>
    <row r="93" spans="8:10" x14ac:dyDescent="0.25">
      <c r="H93" s="23">
        <v>7</v>
      </c>
      <c r="J93" s="25"/>
    </row>
    <row r="94" spans="8:10" x14ac:dyDescent="0.25">
      <c r="H94" s="23">
        <v>8</v>
      </c>
      <c r="J94" s="25"/>
    </row>
    <row r="95" spans="8:10" x14ac:dyDescent="0.25">
      <c r="H95" s="23">
        <v>9</v>
      </c>
      <c r="J95" s="25"/>
    </row>
    <row r="96" spans="8:10" x14ac:dyDescent="0.25">
      <c r="H96" s="23">
        <v>10</v>
      </c>
      <c r="J96" s="25"/>
    </row>
    <row r="97" spans="8:10" x14ac:dyDescent="0.25">
      <c r="H97" s="23">
        <v>11</v>
      </c>
      <c r="J97" s="25"/>
    </row>
    <row r="98" spans="8:10" x14ac:dyDescent="0.25">
      <c r="H98" s="23">
        <v>12</v>
      </c>
      <c r="J98" s="25"/>
    </row>
    <row r="99" spans="8:10" x14ac:dyDescent="0.25">
      <c r="H99" s="23">
        <v>13</v>
      </c>
      <c r="J99" s="25"/>
    </row>
    <row r="100" spans="8:10" x14ac:dyDescent="0.25">
      <c r="H100" s="23">
        <v>14</v>
      </c>
      <c r="J100" s="25"/>
    </row>
    <row r="101" spans="8:10" x14ac:dyDescent="0.25">
      <c r="H101" s="23">
        <v>15</v>
      </c>
      <c r="J101" s="25"/>
    </row>
    <row r="102" spans="8:10" x14ac:dyDescent="0.25">
      <c r="H102" s="23">
        <v>16</v>
      </c>
      <c r="J102" s="25"/>
    </row>
    <row r="103" spans="8:10" x14ac:dyDescent="0.25">
      <c r="H103" s="23">
        <v>17</v>
      </c>
      <c r="J103" s="25"/>
    </row>
    <row r="104" spans="8:10" x14ac:dyDescent="0.25">
      <c r="H104" s="23">
        <v>18</v>
      </c>
      <c r="J104" s="25"/>
    </row>
    <row r="105" spans="8:10" x14ac:dyDescent="0.25">
      <c r="H105" s="23">
        <v>19</v>
      </c>
      <c r="J105" s="25"/>
    </row>
    <row r="108" spans="8:10" x14ac:dyDescent="0.25">
      <c r="I108" s="25"/>
    </row>
    <row r="111" spans="8:10" x14ac:dyDescent="0.25">
      <c r="H111" s="23">
        <v>0</v>
      </c>
    </row>
    <row r="112" spans="8:10" x14ac:dyDescent="0.25">
      <c r="H112" s="23">
        <v>1</v>
      </c>
    </row>
    <row r="113" spans="8:8" x14ac:dyDescent="0.25">
      <c r="H113" s="23">
        <v>2</v>
      </c>
    </row>
    <row r="114" spans="8:8" x14ac:dyDescent="0.25">
      <c r="H114" s="23">
        <v>3</v>
      </c>
    </row>
    <row r="115" spans="8:8" x14ac:dyDescent="0.25">
      <c r="H115" s="23">
        <v>4</v>
      </c>
    </row>
    <row r="116" spans="8:8" x14ac:dyDescent="0.25">
      <c r="H116" s="23">
        <v>5</v>
      </c>
    </row>
    <row r="117" spans="8:8" x14ac:dyDescent="0.25">
      <c r="H117" s="23">
        <v>6</v>
      </c>
    </row>
    <row r="118" spans="8:8" x14ac:dyDescent="0.25">
      <c r="H118" s="23">
        <v>7</v>
      </c>
    </row>
    <row r="119" spans="8:8" x14ac:dyDescent="0.25">
      <c r="H119" s="23">
        <v>8</v>
      </c>
    </row>
    <row r="120" spans="8:8" x14ac:dyDescent="0.25">
      <c r="H120" s="23">
        <v>9</v>
      </c>
    </row>
    <row r="121" spans="8:8" x14ac:dyDescent="0.25">
      <c r="H121" s="23">
        <v>10</v>
      </c>
    </row>
    <row r="122" spans="8:8" x14ac:dyDescent="0.25">
      <c r="H122" s="23">
        <v>11</v>
      </c>
    </row>
    <row r="123" spans="8:8" x14ac:dyDescent="0.25">
      <c r="H123" s="23">
        <v>12</v>
      </c>
    </row>
    <row r="124" spans="8:8" x14ac:dyDescent="0.25">
      <c r="H124" s="23">
        <v>13</v>
      </c>
    </row>
    <row r="125" spans="8:8" x14ac:dyDescent="0.25">
      <c r="H125" s="23">
        <v>14</v>
      </c>
    </row>
    <row r="126" spans="8:8" x14ac:dyDescent="0.25">
      <c r="H126" s="23">
        <v>15</v>
      </c>
    </row>
    <row r="127" spans="8:8" x14ac:dyDescent="0.25">
      <c r="H127" s="23">
        <v>16</v>
      </c>
    </row>
    <row r="128" spans="8:8" x14ac:dyDescent="0.25">
      <c r="H128" s="23">
        <v>17</v>
      </c>
    </row>
    <row r="129" spans="8:8" x14ac:dyDescent="0.25">
      <c r="H129" s="23">
        <v>18</v>
      </c>
    </row>
    <row r="130" spans="8:8" x14ac:dyDescent="0.25">
      <c r="H130" s="23">
        <v>19</v>
      </c>
    </row>
    <row r="152" spans="1:6" x14ac:dyDescent="0.25">
      <c r="A152" s="23">
        <v>1</v>
      </c>
    </row>
    <row r="153" spans="1:6" ht="15.75" thickBot="1" x14ac:dyDescent="0.3"/>
    <row r="154" spans="1:6" x14ac:dyDescent="0.25">
      <c r="A154" s="51">
        <f ca="1">ROUND(RAND()*MAX(A155:A159)+0.5,0)</f>
        <v>4</v>
      </c>
      <c r="B154" s="129" t="s">
        <v>267</v>
      </c>
      <c r="C154" s="129" t="s">
        <v>266</v>
      </c>
      <c r="D154" s="129" t="s">
        <v>265</v>
      </c>
      <c r="E154" s="129" t="s">
        <v>264</v>
      </c>
      <c r="F154" s="52"/>
    </row>
    <row r="155" spans="1:6" x14ac:dyDescent="0.25">
      <c r="A155" s="53">
        <v>1</v>
      </c>
      <c r="B155" s="23" t="s">
        <v>828</v>
      </c>
      <c r="C155" s="23" t="s">
        <v>826</v>
      </c>
      <c r="D155" s="23" t="s">
        <v>817</v>
      </c>
      <c r="E155" s="197" t="s">
        <v>818</v>
      </c>
      <c r="F155" s="173"/>
    </row>
    <row r="156" spans="1:6" x14ac:dyDescent="0.25">
      <c r="A156" s="53">
        <v>2</v>
      </c>
      <c r="B156" s="23" t="s">
        <v>828</v>
      </c>
      <c r="C156" s="23" t="s">
        <v>826</v>
      </c>
      <c r="D156" s="23" t="s">
        <v>817</v>
      </c>
      <c r="E156" s="197" t="s">
        <v>818</v>
      </c>
      <c r="F156" s="173"/>
    </row>
    <row r="157" spans="1:6" x14ac:dyDescent="0.25">
      <c r="A157" s="53">
        <v>3</v>
      </c>
      <c r="B157" s="23" t="s">
        <v>828</v>
      </c>
      <c r="C157" s="23" t="s">
        <v>826</v>
      </c>
      <c r="D157" s="23" t="s">
        <v>817</v>
      </c>
      <c r="E157" s="197" t="s">
        <v>818</v>
      </c>
      <c r="F157" s="173"/>
    </row>
    <row r="158" spans="1:6" x14ac:dyDescent="0.25">
      <c r="A158" s="53">
        <v>4</v>
      </c>
      <c r="B158" s="23" t="s">
        <v>824</v>
      </c>
      <c r="C158" s="23" t="s">
        <v>825</v>
      </c>
      <c r="D158" s="23" t="s">
        <v>263</v>
      </c>
      <c r="E158" s="194" t="s">
        <v>827</v>
      </c>
      <c r="F158" s="173"/>
    </row>
    <row r="159" spans="1:6" ht="15.75" thickBot="1" x14ac:dyDescent="0.3">
      <c r="A159" s="55">
        <v>5</v>
      </c>
      <c r="B159" s="174" t="s">
        <v>824</v>
      </c>
      <c r="C159" s="23" t="s">
        <v>825</v>
      </c>
      <c r="D159" s="23" t="s">
        <v>263</v>
      </c>
      <c r="E159" s="195" t="s">
        <v>827</v>
      </c>
      <c r="F159" s="175"/>
    </row>
  </sheetData>
  <sortState xmlns:xlrd2="http://schemas.microsoft.com/office/spreadsheetml/2017/richdata2" ref="E2:G28">
    <sortCondition ref="E2:E28"/>
  </sortState>
  <hyperlinks>
    <hyperlink ref="E159" r:id="rId1" display="http://soccerwallcharts.com/feedback/" xr:uid="{00000000-0004-0000-0F00-000004000000}"/>
    <hyperlink ref="E155" r:id="rId2" xr:uid="{50E0C09B-5401-4C5A-AA6A-171CA4805975}"/>
    <hyperlink ref="E156:E157" r:id="rId3" display="https://ko-fi.com/soccerwallcharts" xr:uid="{7A9BE502-340C-41F5-A99E-794F502D4F0C}"/>
  </hyperlinks>
  <pageMargins left="0.7" right="0.7" top="0.75" bottom="0.75" header="0.3" footer="0.3"/>
  <pageSetup paperSize="9"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DC0C-D394-4044-942B-531CF977C9BE}">
  <dimension ref="A1:G43"/>
  <sheetViews>
    <sheetView topLeftCell="A14" zoomScaleNormal="100" workbookViewId="0">
      <selection activeCell="B43" sqref="B43:G43"/>
    </sheetView>
  </sheetViews>
  <sheetFormatPr defaultColWidth="9.140625" defaultRowHeight="16.5" x14ac:dyDescent="0.3"/>
  <cols>
    <col min="1" max="1" width="9.7109375" style="159" bestFit="1" customWidth="1"/>
    <col min="2" max="2" width="10.5703125" style="159" bestFit="1" customWidth="1"/>
    <col min="3" max="3" width="9.7109375" style="159" bestFit="1" customWidth="1"/>
    <col min="4" max="4" width="10.85546875" style="159" bestFit="1" customWidth="1"/>
    <col min="5" max="5" width="10.28515625" style="159" bestFit="1" customWidth="1"/>
    <col min="6" max="6" width="10.85546875" style="159" bestFit="1" customWidth="1"/>
    <col min="7" max="7" width="10.5703125" style="159" bestFit="1" customWidth="1"/>
    <col min="8" max="16384" width="9.140625" style="159"/>
  </cols>
  <sheetData>
    <row r="1" spans="1:7" x14ac:dyDescent="0.3">
      <c r="A1" s="158" t="s">
        <v>285</v>
      </c>
      <c r="B1" s="158" t="s">
        <v>286</v>
      </c>
      <c r="C1" s="158" t="s">
        <v>287</v>
      </c>
      <c r="D1" s="158" t="s">
        <v>288</v>
      </c>
      <c r="E1" s="158" t="s">
        <v>289</v>
      </c>
      <c r="F1" s="158" t="s">
        <v>290</v>
      </c>
      <c r="G1" s="158" t="s">
        <v>291</v>
      </c>
    </row>
    <row r="2" spans="1:7" x14ac:dyDescent="0.3">
      <c r="A2" s="161" t="s">
        <v>355</v>
      </c>
      <c r="B2" s="163" t="s">
        <v>356</v>
      </c>
      <c r="C2" s="163" t="s">
        <v>357</v>
      </c>
      <c r="D2" s="163" t="s">
        <v>355</v>
      </c>
      <c r="E2" s="163" t="s">
        <v>355</v>
      </c>
      <c r="F2" s="161" t="s">
        <v>358</v>
      </c>
      <c r="G2" s="183" t="s">
        <v>355</v>
      </c>
    </row>
    <row r="3" spans="1:7" x14ac:dyDescent="0.3">
      <c r="A3" s="161" t="s">
        <v>317</v>
      </c>
      <c r="B3" s="163" t="s">
        <v>318</v>
      </c>
      <c r="C3" s="163" t="s">
        <v>319</v>
      </c>
      <c r="D3" s="163" t="s">
        <v>320</v>
      </c>
      <c r="E3" s="163" t="s">
        <v>321</v>
      </c>
      <c r="F3" s="161" t="s">
        <v>322</v>
      </c>
      <c r="G3" s="161" t="s">
        <v>317</v>
      </c>
    </row>
    <row r="4" spans="1:7" x14ac:dyDescent="0.3">
      <c r="A4" s="161" t="s">
        <v>376</v>
      </c>
      <c r="B4" s="163" t="s">
        <v>377</v>
      </c>
      <c r="C4" s="163" t="s">
        <v>378</v>
      </c>
      <c r="D4" s="163" t="s">
        <v>379</v>
      </c>
      <c r="E4" s="163" t="s">
        <v>380</v>
      </c>
      <c r="F4" s="161" t="s">
        <v>381</v>
      </c>
      <c r="G4" s="161" t="s">
        <v>380</v>
      </c>
    </row>
    <row r="5" spans="1:7" x14ac:dyDescent="0.3">
      <c r="A5" s="161" t="s">
        <v>382</v>
      </c>
      <c r="B5" s="163" t="s">
        <v>383</v>
      </c>
      <c r="C5" s="163" t="s">
        <v>384</v>
      </c>
      <c r="D5" s="163" t="s">
        <v>385</v>
      </c>
      <c r="E5" s="163" t="s">
        <v>386</v>
      </c>
      <c r="F5" s="161" t="s">
        <v>387</v>
      </c>
      <c r="G5" s="161" t="s">
        <v>386</v>
      </c>
    </row>
    <row r="6" spans="1:7" x14ac:dyDescent="0.3">
      <c r="A6" s="161" t="s">
        <v>726</v>
      </c>
      <c r="B6" s="161" t="s">
        <v>726</v>
      </c>
      <c r="C6" s="161" t="s">
        <v>726</v>
      </c>
      <c r="D6" s="161" t="s">
        <v>726</v>
      </c>
      <c r="E6" s="161" t="s">
        <v>726</v>
      </c>
      <c r="F6" s="161" t="s">
        <v>726</v>
      </c>
      <c r="G6" s="161" t="s">
        <v>726</v>
      </c>
    </row>
    <row r="7" spans="1:7" x14ac:dyDescent="0.3">
      <c r="A7" s="161" t="s">
        <v>323</v>
      </c>
      <c r="B7" s="163" t="s">
        <v>323</v>
      </c>
      <c r="C7" s="163" t="s">
        <v>324</v>
      </c>
      <c r="D7" s="163" t="s">
        <v>324</v>
      </c>
      <c r="E7" s="163" t="s">
        <v>324</v>
      </c>
      <c r="F7" s="161" t="s">
        <v>325</v>
      </c>
      <c r="G7" s="161" t="s">
        <v>324</v>
      </c>
    </row>
    <row r="8" spans="1:7" x14ac:dyDescent="0.3">
      <c r="A8" s="161" t="s">
        <v>335</v>
      </c>
      <c r="B8" s="163" t="s">
        <v>335</v>
      </c>
      <c r="C8" s="163" t="s">
        <v>335</v>
      </c>
      <c r="D8" s="163" t="s">
        <v>336</v>
      </c>
      <c r="E8" s="163" t="s">
        <v>335</v>
      </c>
      <c r="F8" s="161" t="s">
        <v>337</v>
      </c>
      <c r="G8" s="161" t="s">
        <v>335</v>
      </c>
    </row>
    <row r="9" spans="1:7" x14ac:dyDescent="0.3">
      <c r="A9" s="161" t="s">
        <v>297</v>
      </c>
      <c r="B9" s="163" t="s">
        <v>298</v>
      </c>
      <c r="C9" s="163" t="s">
        <v>299</v>
      </c>
      <c r="D9" s="163" t="s">
        <v>300</v>
      </c>
      <c r="E9" s="163" t="s">
        <v>301</v>
      </c>
      <c r="F9" s="161" t="s">
        <v>302</v>
      </c>
      <c r="G9" s="161" t="s">
        <v>303</v>
      </c>
    </row>
    <row r="10" spans="1:7" x14ac:dyDescent="0.3">
      <c r="A10" s="161" t="s">
        <v>712</v>
      </c>
      <c r="B10" s="163" t="s">
        <v>712</v>
      </c>
      <c r="C10" s="163" t="s">
        <v>712</v>
      </c>
      <c r="D10" s="163" t="s">
        <v>712</v>
      </c>
      <c r="E10" s="163" t="s">
        <v>712</v>
      </c>
      <c r="F10" s="161" t="s">
        <v>712</v>
      </c>
      <c r="G10" s="161" t="s">
        <v>712</v>
      </c>
    </row>
    <row r="11" spans="1:7" x14ac:dyDescent="0.3">
      <c r="A11" s="161" t="s">
        <v>721</v>
      </c>
      <c r="B11" s="161" t="s">
        <v>721</v>
      </c>
      <c r="C11" s="161" t="s">
        <v>721</v>
      </c>
      <c r="D11" s="161" t="s">
        <v>721</v>
      </c>
      <c r="E11" s="161" t="s">
        <v>721</v>
      </c>
      <c r="F11" s="161" t="s">
        <v>721</v>
      </c>
      <c r="G11" s="161" t="s">
        <v>721</v>
      </c>
    </row>
    <row r="12" spans="1:7" x14ac:dyDescent="0.3">
      <c r="A12" s="161" t="s">
        <v>709</v>
      </c>
      <c r="B12" s="163" t="s">
        <v>709</v>
      </c>
      <c r="C12" s="163" t="s">
        <v>709</v>
      </c>
      <c r="D12" s="163" t="s">
        <v>709</v>
      </c>
      <c r="E12" s="163" t="s">
        <v>709</v>
      </c>
      <c r="F12" s="161" t="s">
        <v>709</v>
      </c>
      <c r="G12" s="161" t="s">
        <v>709</v>
      </c>
    </row>
    <row r="13" spans="1:7" x14ac:dyDescent="0.3">
      <c r="A13" s="161" t="s">
        <v>338</v>
      </c>
      <c r="B13" s="163" t="s">
        <v>339</v>
      </c>
      <c r="C13" s="163" t="s">
        <v>338</v>
      </c>
      <c r="D13" s="163" t="s">
        <v>340</v>
      </c>
      <c r="E13" s="163" t="s">
        <v>341</v>
      </c>
      <c r="F13" s="161" t="s">
        <v>342</v>
      </c>
      <c r="G13" s="161" t="s">
        <v>341</v>
      </c>
    </row>
    <row r="14" spans="1:7" x14ac:dyDescent="0.3">
      <c r="A14" s="161" t="s">
        <v>350</v>
      </c>
      <c r="B14" s="163" t="s">
        <v>350</v>
      </c>
      <c r="C14" s="163" t="s">
        <v>351</v>
      </c>
      <c r="D14" s="163" t="s">
        <v>352</v>
      </c>
      <c r="E14" s="163" t="s">
        <v>353</v>
      </c>
      <c r="F14" s="163" t="s">
        <v>354</v>
      </c>
      <c r="G14" s="163" t="s">
        <v>352</v>
      </c>
    </row>
    <row r="15" spans="1:7" x14ac:dyDescent="0.3">
      <c r="A15" s="161" t="s">
        <v>366</v>
      </c>
      <c r="B15" s="163" t="s">
        <v>367</v>
      </c>
      <c r="C15" s="163" t="s">
        <v>368</v>
      </c>
      <c r="D15" s="163" t="s">
        <v>369</v>
      </c>
      <c r="E15" s="163" t="s">
        <v>370</v>
      </c>
      <c r="F15" s="161" t="s">
        <v>371</v>
      </c>
      <c r="G15" s="161" t="s">
        <v>372</v>
      </c>
    </row>
    <row r="16" spans="1:7" x14ac:dyDescent="0.3">
      <c r="A16" s="161" t="s">
        <v>728</v>
      </c>
      <c r="B16" s="161" t="s">
        <v>728</v>
      </c>
      <c r="C16" s="161" t="s">
        <v>728</v>
      </c>
      <c r="D16" s="161" t="s">
        <v>728</v>
      </c>
      <c r="E16" s="161" t="s">
        <v>728</v>
      </c>
      <c r="F16" s="161" t="s">
        <v>728</v>
      </c>
      <c r="G16" s="161" t="s">
        <v>728</v>
      </c>
    </row>
    <row r="17" spans="1:7" x14ac:dyDescent="0.3">
      <c r="A17" s="161" t="s">
        <v>724</v>
      </c>
      <c r="B17" s="161" t="s">
        <v>724</v>
      </c>
      <c r="C17" s="161" t="s">
        <v>724</v>
      </c>
      <c r="D17" s="161" t="s">
        <v>724</v>
      </c>
      <c r="E17" s="161" t="s">
        <v>724</v>
      </c>
      <c r="F17" s="161" t="s">
        <v>724</v>
      </c>
      <c r="G17" s="161" t="s">
        <v>724</v>
      </c>
    </row>
    <row r="18" spans="1:7" x14ac:dyDescent="0.3">
      <c r="A18" s="161" t="s">
        <v>725</v>
      </c>
      <c r="B18" s="161" t="s">
        <v>725</v>
      </c>
      <c r="C18" s="161" t="s">
        <v>725</v>
      </c>
      <c r="D18" s="161" t="s">
        <v>725</v>
      </c>
      <c r="E18" s="161" t="s">
        <v>725</v>
      </c>
      <c r="F18" s="161" t="s">
        <v>725</v>
      </c>
      <c r="G18" s="161" t="s">
        <v>725</v>
      </c>
    </row>
    <row r="19" spans="1:7" x14ac:dyDescent="0.3">
      <c r="A19" s="161" t="s">
        <v>713</v>
      </c>
      <c r="B19" s="163" t="s">
        <v>713</v>
      </c>
      <c r="C19" s="163" t="s">
        <v>713</v>
      </c>
      <c r="D19" s="163" t="s">
        <v>713</v>
      </c>
      <c r="E19" s="163" t="s">
        <v>713</v>
      </c>
      <c r="F19" s="163" t="s">
        <v>713</v>
      </c>
      <c r="G19" s="163" t="s">
        <v>713</v>
      </c>
    </row>
    <row r="20" spans="1:7" x14ac:dyDescent="0.3">
      <c r="A20" s="161" t="s">
        <v>359</v>
      </c>
      <c r="B20" s="163" t="s">
        <v>359</v>
      </c>
      <c r="C20" s="163" t="s">
        <v>359</v>
      </c>
      <c r="D20" s="163" t="s">
        <v>359</v>
      </c>
      <c r="E20" s="163" t="s">
        <v>360</v>
      </c>
      <c r="F20" s="161" t="s">
        <v>361</v>
      </c>
      <c r="G20" s="161" t="s">
        <v>362</v>
      </c>
    </row>
    <row r="21" spans="1:7" x14ac:dyDescent="0.3">
      <c r="A21" s="161" t="s">
        <v>326</v>
      </c>
      <c r="B21" s="163" t="s">
        <v>327</v>
      </c>
      <c r="C21" s="163" t="s">
        <v>326</v>
      </c>
      <c r="D21" s="163" t="s">
        <v>328</v>
      </c>
      <c r="E21" s="163" t="s">
        <v>329</v>
      </c>
      <c r="F21" s="161" t="s">
        <v>330</v>
      </c>
      <c r="G21" s="161" t="s">
        <v>331</v>
      </c>
    </row>
    <row r="22" spans="1:7" x14ac:dyDescent="0.3">
      <c r="A22" s="161" t="s">
        <v>729</v>
      </c>
      <c r="B22" s="161" t="s">
        <v>729</v>
      </c>
      <c r="C22" s="161" t="s">
        <v>729</v>
      </c>
      <c r="D22" s="161" t="s">
        <v>729</v>
      </c>
      <c r="E22" s="161" t="s">
        <v>729</v>
      </c>
      <c r="F22" s="161" t="s">
        <v>729</v>
      </c>
      <c r="G22" s="161" t="s">
        <v>729</v>
      </c>
    </row>
    <row r="23" spans="1:7" x14ac:dyDescent="0.3">
      <c r="A23" s="161" t="s">
        <v>304</v>
      </c>
      <c r="B23" s="163" t="s">
        <v>305</v>
      </c>
      <c r="C23" s="163" t="s">
        <v>306</v>
      </c>
      <c r="D23" s="163" t="s">
        <v>307</v>
      </c>
      <c r="E23" s="163" t="s">
        <v>308</v>
      </c>
      <c r="F23" s="163" t="s">
        <v>309</v>
      </c>
      <c r="G23" s="163" t="s">
        <v>308</v>
      </c>
    </row>
    <row r="24" spans="1:7" x14ac:dyDescent="0.3">
      <c r="A24" s="161" t="s">
        <v>710</v>
      </c>
      <c r="B24" s="163" t="s">
        <v>710</v>
      </c>
      <c r="C24" s="163" t="s">
        <v>710</v>
      </c>
      <c r="D24" s="163" t="s">
        <v>710</v>
      </c>
      <c r="E24" s="163" t="s">
        <v>710</v>
      </c>
      <c r="F24" s="161" t="s">
        <v>710</v>
      </c>
      <c r="G24" s="161" t="s">
        <v>710</v>
      </c>
    </row>
    <row r="25" spans="1:7" x14ac:dyDescent="0.3">
      <c r="A25" s="161" t="s">
        <v>722</v>
      </c>
      <c r="B25" s="161" t="s">
        <v>722</v>
      </c>
      <c r="C25" s="161" t="s">
        <v>722</v>
      </c>
      <c r="D25" s="161" t="s">
        <v>722</v>
      </c>
      <c r="E25" s="161" t="s">
        <v>722</v>
      </c>
      <c r="F25" s="161" t="s">
        <v>722</v>
      </c>
      <c r="G25" s="161" t="s">
        <v>722</v>
      </c>
    </row>
    <row r="26" spans="1:7" x14ac:dyDescent="0.3">
      <c r="A26" s="161" t="s">
        <v>363</v>
      </c>
      <c r="B26" s="163" t="s">
        <v>364</v>
      </c>
      <c r="C26" s="163" t="s">
        <v>363</v>
      </c>
      <c r="D26" s="163" t="s">
        <v>363</v>
      </c>
      <c r="E26" s="163" t="s">
        <v>364</v>
      </c>
      <c r="F26" s="161" t="s">
        <v>365</v>
      </c>
      <c r="G26" s="161" t="s">
        <v>363</v>
      </c>
    </row>
    <row r="27" spans="1:7" x14ac:dyDescent="0.3">
      <c r="A27" s="161" t="s">
        <v>716</v>
      </c>
      <c r="B27" s="163" t="s">
        <v>716</v>
      </c>
      <c r="C27" s="163" t="s">
        <v>716</v>
      </c>
      <c r="D27" s="163" t="s">
        <v>716</v>
      </c>
      <c r="E27" s="163" t="s">
        <v>716</v>
      </c>
      <c r="F27" s="161" t="s">
        <v>716</v>
      </c>
      <c r="G27" s="161" t="s">
        <v>716</v>
      </c>
    </row>
    <row r="28" spans="1:7" x14ac:dyDescent="0.3">
      <c r="A28" s="161" t="s">
        <v>711</v>
      </c>
      <c r="B28" s="163" t="s">
        <v>711</v>
      </c>
      <c r="C28" s="163" t="s">
        <v>711</v>
      </c>
      <c r="D28" s="163" t="s">
        <v>711</v>
      </c>
      <c r="E28" s="163" t="s">
        <v>711</v>
      </c>
      <c r="F28" s="163" t="s">
        <v>711</v>
      </c>
      <c r="G28" s="161" t="s">
        <v>711</v>
      </c>
    </row>
    <row r="29" spans="1:7" x14ac:dyDescent="0.3">
      <c r="A29" s="161" t="s">
        <v>718</v>
      </c>
      <c r="B29" s="163" t="s">
        <v>718</v>
      </c>
      <c r="C29" s="163" t="s">
        <v>718</v>
      </c>
      <c r="D29" s="163" t="s">
        <v>718</v>
      </c>
      <c r="E29" s="163" t="s">
        <v>718</v>
      </c>
      <c r="F29" s="163" t="s">
        <v>718</v>
      </c>
      <c r="G29" s="163" t="s">
        <v>718</v>
      </c>
    </row>
    <row r="30" spans="1:7" x14ac:dyDescent="0.3">
      <c r="A30" s="161" t="s">
        <v>373</v>
      </c>
      <c r="B30" s="163" t="s">
        <v>373</v>
      </c>
      <c r="C30" s="163" t="s">
        <v>373</v>
      </c>
      <c r="D30" s="163" t="s">
        <v>374</v>
      </c>
      <c r="E30" s="163" t="s">
        <v>373</v>
      </c>
      <c r="F30" s="161" t="s">
        <v>375</v>
      </c>
      <c r="G30" s="161" t="s">
        <v>373</v>
      </c>
    </row>
    <row r="31" spans="1:7" x14ac:dyDescent="0.3">
      <c r="A31" s="161" t="s">
        <v>720</v>
      </c>
      <c r="B31" s="161" t="s">
        <v>720</v>
      </c>
      <c r="C31" s="161" t="s">
        <v>720</v>
      </c>
      <c r="D31" s="161" t="s">
        <v>720</v>
      </c>
      <c r="E31" s="161" t="s">
        <v>720</v>
      </c>
      <c r="F31" s="161" t="s">
        <v>720</v>
      </c>
      <c r="G31" s="161" t="s">
        <v>720</v>
      </c>
    </row>
    <row r="32" spans="1:7" x14ac:dyDescent="0.3">
      <c r="A32" s="162" t="s">
        <v>232</v>
      </c>
      <c r="B32" s="162" t="s">
        <v>292</v>
      </c>
      <c r="C32" s="162" t="s">
        <v>293</v>
      </c>
      <c r="D32" s="162" t="s">
        <v>232</v>
      </c>
      <c r="E32" s="162" t="s">
        <v>294</v>
      </c>
      <c r="F32" s="162" t="s">
        <v>295</v>
      </c>
      <c r="G32" s="162" t="s">
        <v>296</v>
      </c>
    </row>
    <row r="33" spans="1:7" x14ac:dyDescent="0.3">
      <c r="A33" s="161" t="s">
        <v>708</v>
      </c>
      <c r="B33" s="163" t="s">
        <v>708</v>
      </c>
      <c r="C33" s="163" t="s">
        <v>708</v>
      </c>
      <c r="D33" s="163" t="s">
        <v>708</v>
      </c>
      <c r="E33" s="163" t="s">
        <v>708</v>
      </c>
      <c r="F33" s="163" t="s">
        <v>708</v>
      </c>
      <c r="G33" s="163" t="s">
        <v>708</v>
      </c>
    </row>
    <row r="34" spans="1:7" x14ac:dyDescent="0.3">
      <c r="A34" s="161" t="s">
        <v>719</v>
      </c>
      <c r="B34" s="163" t="s">
        <v>719</v>
      </c>
      <c r="C34" s="163" t="s">
        <v>719</v>
      </c>
      <c r="D34" s="163" t="s">
        <v>719</v>
      </c>
      <c r="E34" s="163" t="s">
        <v>719</v>
      </c>
      <c r="F34" s="161" t="s">
        <v>719</v>
      </c>
      <c r="G34" s="161" t="s">
        <v>719</v>
      </c>
    </row>
    <row r="35" spans="1:7" x14ac:dyDescent="0.3">
      <c r="A35" s="161" t="s">
        <v>714</v>
      </c>
      <c r="B35" s="163" t="s">
        <v>714</v>
      </c>
      <c r="C35" s="163" t="s">
        <v>714</v>
      </c>
      <c r="D35" s="163" t="s">
        <v>714</v>
      </c>
      <c r="E35" s="163" t="s">
        <v>714</v>
      </c>
      <c r="F35" s="161" t="s">
        <v>714</v>
      </c>
      <c r="G35" s="161" t="s">
        <v>714</v>
      </c>
    </row>
    <row r="36" spans="1:7" x14ac:dyDescent="0.3">
      <c r="A36" s="161" t="s">
        <v>388</v>
      </c>
      <c r="B36" s="163" t="s">
        <v>389</v>
      </c>
      <c r="C36" s="163" t="s">
        <v>390</v>
      </c>
      <c r="D36" s="163" t="s">
        <v>391</v>
      </c>
      <c r="E36" s="163" t="s">
        <v>392</v>
      </c>
      <c r="F36" s="161" t="s">
        <v>393</v>
      </c>
      <c r="G36" s="161" t="s">
        <v>394</v>
      </c>
    </row>
    <row r="37" spans="1:7" x14ac:dyDescent="0.3">
      <c r="A37" s="161" t="s">
        <v>310</v>
      </c>
      <c r="B37" s="163" t="s">
        <v>311</v>
      </c>
      <c r="C37" s="163" t="s">
        <v>312</v>
      </c>
      <c r="D37" s="163" t="s">
        <v>313</v>
      </c>
      <c r="E37" s="163" t="s">
        <v>314</v>
      </c>
      <c r="F37" s="161" t="s">
        <v>315</v>
      </c>
      <c r="G37" s="161" t="s">
        <v>316</v>
      </c>
    </row>
    <row r="38" spans="1:7" x14ac:dyDescent="0.3">
      <c r="A38" s="161" t="s">
        <v>715</v>
      </c>
      <c r="B38" s="163" t="s">
        <v>715</v>
      </c>
      <c r="C38" s="163" t="s">
        <v>715</v>
      </c>
      <c r="D38" s="163" t="s">
        <v>715</v>
      </c>
      <c r="E38" s="163" t="s">
        <v>715</v>
      </c>
      <c r="F38" s="163" t="s">
        <v>715</v>
      </c>
      <c r="G38" s="163" t="s">
        <v>715</v>
      </c>
    </row>
    <row r="39" spans="1:7" x14ac:dyDescent="0.3">
      <c r="A39" s="161" t="s">
        <v>343</v>
      </c>
      <c r="B39" s="163" t="s">
        <v>344</v>
      </c>
      <c r="C39" s="163" t="s">
        <v>345</v>
      </c>
      <c r="D39" s="163" t="s">
        <v>346</v>
      </c>
      <c r="E39" s="163" t="s">
        <v>347</v>
      </c>
      <c r="F39" s="163" t="s">
        <v>348</v>
      </c>
      <c r="G39" s="163" t="s">
        <v>349</v>
      </c>
    </row>
    <row r="40" spans="1:7" x14ac:dyDescent="0.3">
      <c r="A40" s="161" t="s">
        <v>717</v>
      </c>
      <c r="B40" s="163" t="s">
        <v>717</v>
      </c>
      <c r="C40" s="163" t="s">
        <v>717</v>
      </c>
      <c r="D40" s="163" t="s">
        <v>717</v>
      </c>
      <c r="E40" s="163" t="s">
        <v>717</v>
      </c>
      <c r="F40" s="161" t="s">
        <v>717</v>
      </c>
      <c r="G40" s="161" t="s">
        <v>717</v>
      </c>
    </row>
    <row r="41" spans="1:7" x14ac:dyDescent="0.3">
      <c r="A41" s="161" t="s">
        <v>332</v>
      </c>
      <c r="B41" s="163" t="s">
        <v>332</v>
      </c>
      <c r="C41" s="163" t="s">
        <v>332</v>
      </c>
      <c r="D41" s="163" t="s">
        <v>332</v>
      </c>
      <c r="E41" s="163" t="s">
        <v>333</v>
      </c>
      <c r="F41" s="161" t="s">
        <v>334</v>
      </c>
      <c r="G41" s="161" t="s">
        <v>332</v>
      </c>
    </row>
    <row r="42" spans="1:7" x14ac:dyDescent="0.3">
      <c r="A42" s="186" t="s">
        <v>723</v>
      </c>
      <c r="B42" s="186" t="s">
        <v>723</v>
      </c>
      <c r="C42" s="186" t="s">
        <v>723</v>
      </c>
      <c r="D42" s="186" t="s">
        <v>723</v>
      </c>
      <c r="E42" s="186" t="s">
        <v>723</v>
      </c>
      <c r="F42" s="186" t="s">
        <v>723</v>
      </c>
      <c r="G42" s="186" t="s">
        <v>723</v>
      </c>
    </row>
    <row r="43" spans="1:7" x14ac:dyDescent="0.3">
      <c r="A43" s="186" t="s">
        <v>819</v>
      </c>
      <c r="B43" s="198" t="s">
        <v>820</v>
      </c>
      <c r="C43" s="198" t="s">
        <v>819</v>
      </c>
      <c r="D43" s="198" t="s">
        <v>821</v>
      </c>
      <c r="E43" s="198" t="s">
        <v>822</v>
      </c>
      <c r="F43" s="198" t="s">
        <v>823</v>
      </c>
      <c r="G43" s="198" t="s">
        <v>822</v>
      </c>
    </row>
  </sheetData>
  <phoneticPr fontId="4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X31"/>
  <sheetViews>
    <sheetView topLeftCell="C13" workbookViewId="0"/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Config!C30</f>
        <v>Portugal</v>
      </c>
      <c r="C1" s="16" t="str">
        <f>Config!C31</f>
        <v>Ghana</v>
      </c>
      <c r="D1" s="16" t="str">
        <f>Config!C32</f>
        <v>Uruguay</v>
      </c>
      <c r="E1" s="16" t="str">
        <f>Config!C33</f>
        <v>Korea Republic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Portugal</v>
      </c>
      <c r="C3" t="s">
        <v>127</v>
      </c>
      <c r="D3" t="str">
        <f>C1</f>
        <v>Ghana</v>
      </c>
      <c r="E3" s="16">
        <f>Wallchart!F30</f>
        <v>0</v>
      </c>
      <c r="F3" s="16">
        <f>Wallchart!G30</f>
        <v>0</v>
      </c>
      <c r="G3" s="16">
        <f>IF(ISBLANK(Wallchart!F30)=TRUE,0,IF(E3&lt;F3,0,IF(E3&gt;F3,3,1)))</f>
        <v>0</v>
      </c>
      <c r="H3" s="16">
        <f>IF(ISBLANK(Wallchart!G30)=TRUE,0,IF(F3&lt;E3,0,IF(F3&gt;E3,3,1)))</f>
        <v>0</v>
      </c>
      <c r="I3" s="16">
        <f>IF(ISBLANK(Wallchart!F30)=TRUE,0,IF(ISBLANK(Wallchart!G30)=TRUE,0,1))</f>
        <v>0</v>
      </c>
      <c r="K3" t="str">
        <f>B1</f>
        <v>Portugal</v>
      </c>
      <c r="L3" t="str">
        <f>C1</f>
        <v>Ghana</v>
      </c>
      <c r="M3" t="str">
        <f>D1</f>
        <v>Uruguay</v>
      </c>
      <c r="N3" t="str">
        <f>E1</f>
        <v>Korea Republic</v>
      </c>
      <c r="P3" s="5" t="str">
        <f>B1</f>
        <v>Portugal</v>
      </c>
      <c r="Q3" s="5" t="str">
        <f>C1</f>
        <v>Ghana</v>
      </c>
      <c r="R3" s="5" t="str">
        <f>D1</f>
        <v>Uruguay</v>
      </c>
      <c r="S3" s="5" t="str">
        <f>E1</f>
        <v>Korea Republic</v>
      </c>
      <c r="T3" s="5" t="s">
        <v>128</v>
      </c>
    </row>
    <row r="4" spans="1:20" x14ac:dyDescent="0.25">
      <c r="A4">
        <v>2</v>
      </c>
      <c r="B4" t="str">
        <f>D1</f>
        <v>Uruguay</v>
      </c>
      <c r="C4" t="s">
        <v>127</v>
      </c>
      <c r="D4" t="str">
        <f>E1</f>
        <v>Korea Republic</v>
      </c>
      <c r="E4" s="16">
        <f>Wallchart!F29</f>
        <v>0</v>
      </c>
      <c r="F4" s="16">
        <f>Wallchart!G29</f>
        <v>0</v>
      </c>
      <c r="G4" s="16">
        <f>IF(ISBLANK(Wallchart!F29)=TRUE,0,IF(E4&lt;F4,0,IF(E4&gt;F4,3,1)))</f>
        <v>0</v>
      </c>
      <c r="H4" s="16">
        <f>IF(ISBLANK(Wallchart!G29)=TRUE,0,IF(F4&lt;E4,0,IF(F4&gt;E4,3,1)))</f>
        <v>0</v>
      </c>
      <c r="I4" s="16">
        <f>IF(ISBLANK(Wallchart!F29)=TRUE,0,IF(ISBLANK(Wallchart!G29)=TRUE,0,1))</f>
        <v>0</v>
      </c>
      <c r="J4" t="str">
        <f>B1</f>
        <v>Portugal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Portugal</v>
      </c>
      <c r="C5" t="s">
        <v>127</v>
      </c>
      <c r="D5" t="str">
        <f>D1</f>
        <v>Uruguay</v>
      </c>
      <c r="E5" s="16">
        <f>Wallchart!F47</f>
        <v>0</v>
      </c>
      <c r="F5" s="16">
        <f>Wallchart!G47</f>
        <v>0</v>
      </c>
      <c r="G5" s="16">
        <f>IF(ISBLANK(Wallchart!F47)=TRUE,0,IF(E5&lt;F5,0,IF(E5&gt;F5,3,1)))</f>
        <v>0</v>
      </c>
      <c r="H5" s="16">
        <f>IF(ISBLANK(Wallchart!G47)=TRUE,0,IF(F5&lt;E5,0,IF(F5&gt;E5,3,1)))</f>
        <v>0</v>
      </c>
      <c r="I5" s="16">
        <f>IF(ISBLANK(Wallchart!F47)=TRUE,0,IF(ISBLANK(Wallchart!G47)=TRUE,0,1))</f>
        <v>0</v>
      </c>
      <c r="J5" t="str">
        <f>C1</f>
        <v>Ghana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Ghana</v>
      </c>
      <c r="C6" t="s">
        <v>127</v>
      </c>
      <c r="D6" t="str">
        <f>E1</f>
        <v>Korea Republic</v>
      </c>
      <c r="E6" s="16">
        <f>Wallchart!G45</f>
        <v>0</v>
      </c>
      <c r="F6" s="16">
        <f>Wallchart!F45</f>
        <v>0</v>
      </c>
      <c r="G6" s="16">
        <f>IF(ISBLANK(Wallchart!G45)=TRUE,0,IF(E6&lt;F6,0,IF(E6&gt;F6,3,1)))</f>
        <v>0</v>
      </c>
      <c r="H6" s="16">
        <f>IF(ISBLANK(Wallchart!F45)=TRUE,0,IF(F6&lt;E6,0,IF(F6&gt;E6,3,1)))</f>
        <v>0</v>
      </c>
      <c r="I6" s="16">
        <f>IF(ISBLANK(Wallchart!F45)=TRUE,0,IF(ISBLANK(Wallchart!G45)=TRUE,0,1))</f>
        <v>0</v>
      </c>
      <c r="J6" t="str">
        <f>D1</f>
        <v>Uruguay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Korea Republic</v>
      </c>
      <c r="C7" t="s">
        <v>127</v>
      </c>
      <c r="D7" t="str">
        <f>B1</f>
        <v>Portugal</v>
      </c>
      <c r="E7" s="16">
        <f>Wallchart!F60</f>
        <v>0</v>
      </c>
      <c r="F7" s="16">
        <f>Wallchart!G60</f>
        <v>0</v>
      </c>
      <c r="G7" s="16">
        <f>IF(ISBLANK(Wallchart!F60)=TRUE,0,IF(E7&lt;F7,0,IF(E7&gt;F7,3,1)))</f>
        <v>0</v>
      </c>
      <c r="H7" s="16">
        <f>IF(ISBLANK(Wallchart!G60)=TRUE,0,IF(F7&lt;E7,0,IF(F7&gt;E7,3,1)))</f>
        <v>0</v>
      </c>
      <c r="I7" s="16">
        <f>IF(ISBLANK(Wallchart!F60)=TRUE,0,IF(ISBLANK(Wallchart!G60)=TRUE,0,1))</f>
        <v>0</v>
      </c>
      <c r="J7" t="str">
        <f>E1</f>
        <v>Korea Republic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Uruguay</v>
      </c>
      <c r="C8" t="s">
        <v>127</v>
      </c>
      <c r="D8" t="str">
        <f>C1</f>
        <v>Ghana</v>
      </c>
      <c r="E8" s="16">
        <f>Wallchart!G61</f>
        <v>0</v>
      </c>
      <c r="F8" s="16">
        <f>Wallchart!F61</f>
        <v>0</v>
      </c>
      <c r="G8" s="16">
        <f>IF(ISBLANK(Wallchart!G61)=TRUE,0,IF(E8&lt;F8,0,IF(E8&gt;F8,3,1)))</f>
        <v>0</v>
      </c>
      <c r="H8" s="16">
        <f>IF(ISBLANK(Wallchart!F61)=TRUE,0,IF(F8&lt;E8,0,IF(F8&gt;E8,3,1)))</f>
        <v>0</v>
      </c>
      <c r="I8" s="16">
        <f>IF(ISBLANK(Wallchart!F61)=TRUE,0,IF(ISBLANK(Wallchart!G61)=TRUE,0,1))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Portugal</v>
      </c>
      <c r="L10" t="str">
        <f>C1</f>
        <v>Ghana</v>
      </c>
      <c r="M10" t="str">
        <f>D1</f>
        <v>Uruguay</v>
      </c>
      <c r="N10" t="str">
        <f>E1</f>
        <v>Korea Republic</v>
      </c>
      <c r="P10" s="5" t="str">
        <f>B1</f>
        <v>Portugal</v>
      </c>
      <c r="Q10" s="5" t="str">
        <f>C1</f>
        <v>Ghana</v>
      </c>
      <c r="R10" s="5" t="str">
        <f>D1</f>
        <v>Uruguay</v>
      </c>
      <c r="S10" s="5" t="str">
        <f>E1</f>
        <v>Korea Republic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Portugal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Portugal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IF(Wallchart!S67="","a",Wallchart!S67)</f>
        <v>a</v>
      </c>
      <c r="J12" t="str">
        <f>C1</f>
        <v>Ghana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Ghana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IF(Wallchart!S68="","b",Wallchart!S68)</f>
        <v>b</v>
      </c>
      <c r="J13" t="str">
        <f>D1</f>
        <v>Uruguay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Uruguay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IF(Wallchart!S69="","c",Wallchart!S69)</f>
        <v>c</v>
      </c>
      <c r="J14" t="str">
        <f>E1</f>
        <v>Korea Republic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Korea Republic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IF(Wallchart!S70="","d",Wallchart!S70)</f>
        <v>d</v>
      </c>
    </row>
    <row r="16" spans="1:20" ht="15.75" thickBot="1" x14ac:dyDescent="0.3">
      <c r="I16" s="20" t="str">
        <f>IF(SUM(I3:I8)=6,IF(GrpH!W28&gt;0,IF(I12=I13,"Duplicate",IF(I12=I14,"Duplicate",IF(I12=I15,"Duplicate",IF(I13=I14,"Duplicate",IF(I13=I15,"Duplcate",IF(I14=I15,"Duplicate","")))))),""),"")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Portugal</v>
      </c>
      <c r="L17" t="str">
        <f>C1</f>
        <v>Ghana</v>
      </c>
      <c r="M17" t="str">
        <f>D1</f>
        <v>Uruguay</v>
      </c>
      <c r="N17" t="str">
        <f>E1</f>
        <v>Korea Republic</v>
      </c>
      <c r="P17" s="5" t="str">
        <f>B1</f>
        <v>Portugal</v>
      </c>
      <c r="Q17" s="5" t="str">
        <f>C1</f>
        <v>Ghana</v>
      </c>
      <c r="R17" s="5" t="str">
        <f>D1</f>
        <v>Uruguay</v>
      </c>
      <c r="S17" s="5" t="str">
        <f>E1</f>
        <v>Korea Republic</v>
      </c>
      <c r="T17" s="5" t="s">
        <v>128</v>
      </c>
    </row>
    <row r="18" spans="1:24" x14ac:dyDescent="0.25">
      <c r="J18" t="str">
        <f>B1</f>
        <v>Portugal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Ghana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Uruguay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Korea Republic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Portugal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IF(W28&gt;0,IF(A26=GrpH!I12,0.00000004,IF(A26=GrpH!I13,0.00000003,IF(A26=GrpH!I14,0.00000002,0.00000001))),0)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Ghana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IF(W28&gt;0,IF(A27=GrpH!I12,0.00000004,IF(A27=GrpH!I13,0.00000003,IF(A27=GrpH!I14,0.00000002,0.00000001))),0)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Uruguay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IF(W28&gt;0,IF(A28=GrpH!I12,0.00000004,IF(A28=GrpH!I13,0.00000003,IF(A28=GrpH!I14,0.00000002,0.00000001))),0)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Korea Republic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IF(W28&gt;0,IF(A29=GrpH!I12,0.00000004,IF(A29=GrpH!I13,0.00000003,IF(A29=GrpH!I14,0.00000002,0.00000001))),0)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disablePrompts="1" count="1">
    <dataValidation allowBlank="1" showErrorMessage="1" prompt="Used for Fifa lots if requried" sqref="I12:I15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X31"/>
  <sheetViews>
    <sheetView topLeftCell="C19" workbookViewId="0">
      <selection activeCell="J15" sqref="J15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Config!C26</f>
        <v>Brazil</v>
      </c>
      <c r="C1" s="16" t="str">
        <f>Config!C27</f>
        <v>Serbia</v>
      </c>
      <c r="D1" s="16" t="str">
        <f>Config!C28</f>
        <v>Switzerland</v>
      </c>
      <c r="E1" s="16" t="str">
        <f>Config!C29</f>
        <v>Cameroon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Brazil</v>
      </c>
      <c r="C3" t="s">
        <v>127</v>
      </c>
      <c r="D3" t="str">
        <f>C1</f>
        <v>Serbia</v>
      </c>
      <c r="E3" s="16">
        <f>Wallchart!F31</f>
        <v>0</v>
      </c>
      <c r="F3" s="16">
        <f>Wallchart!G31</f>
        <v>0</v>
      </c>
      <c r="G3" s="16">
        <f>IF(ISBLANK(Wallchart!F31)=TRUE,0,IF(E3&lt;F3,0,IF(E3&gt;F3,3,1)))</f>
        <v>0</v>
      </c>
      <c r="H3" s="16">
        <f>IF(ISBLANK(Wallchart!G31)=TRUE,0,IF(F3&lt;E3,0,IF(F3&gt;E3,3,1)))</f>
        <v>0</v>
      </c>
      <c r="I3" s="16">
        <f>IF(ISBLANK(Wallchart!F31)=TRUE,0,IF(ISBLANK(Wallchart!G31)=TRUE,0,1))</f>
        <v>0</v>
      </c>
      <c r="K3" t="str">
        <f>B1</f>
        <v>Brazil</v>
      </c>
      <c r="L3" t="str">
        <f>C1</f>
        <v>Serbia</v>
      </c>
      <c r="M3" t="str">
        <f>D1</f>
        <v>Switzerland</v>
      </c>
      <c r="N3" t="str">
        <f>E1</f>
        <v>Cameroon</v>
      </c>
      <c r="P3" s="5" t="str">
        <f>B1</f>
        <v>Brazil</v>
      </c>
      <c r="Q3" s="5" t="str">
        <f>C1</f>
        <v>Serbia</v>
      </c>
      <c r="R3" s="5" t="str">
        <f>D1</f>
        <v>Switzerland</v>
      </c>
      <c r="S3" s="5" t="str">
        <f>E1</f>
        <v>Cameroon</v>
      </c>
      <c r="T3" s="5" t="s">
        <v>128</v>
      </c>
    </row>
    <row r="4" spans="1:20" x14ac:dyDescent="0.25">
      <c r="A4">
        <v>2</v>
      </c>
      <c r="B4" t="str">
        <f>D1</f>
        <v>Switzerland</v>
      </c>
      <c r="C4" t="s">
        <v>127</v>
      </c>
      <c r="D4" t="str">
        <f>E1</f>
        <v>Cameroon</v>
      </c>
      <c r="E4" s="16">
        <f>Wallchart!F28</f>
        <v>0</v>
      </c>
      <c r="F4" s="16">
        <f>Wallchart!G28</f>
        <v>0</v>
      </c>
      <c r="G4" s="16">
        <f>IF(ISBLANK(Wallchart!F28)=TRUE,0,IF(E4&lt;F4,0,IF(E4&gt;F4,3,1)))</f>
        <v>0</v>
      </c>
      <c r="H4" s="16">
        <f>IF(ISBLANK(Wallchart!G28)=TRUE,0,IF(F4&lt;E4,0,IF(F4&gt;E4,3,1)))</f>
        <v>0</v>
      </c>
      <c r="I4" s="16">
        <f>IF(ISBLANK(Wallchart!F28)=TRUE,0,IF(ISBLANK(Wallchart!G28)=TRUE,0,1))</f>
        <v>0</v>
      </c>
      <c r="J4" t="str">
        <f>B1</f>
        <v>Brazil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Brazil</v>
      </c>
      <c r="C5" t="s">
        <v>127</v>
      </c>
      <c r="D5" t="str">
        <f>D1</f>
        <v>Switzerland</v>
      </c>
      <c r="E5" s="16">
        <f>Wallchart!F46</f>
        <v>0</v>
      </c>
      <c r="F5" s="16">
        <f>Wallchart!G46</f>
        <v>0</v>
      </c>
      <c r="G5" s="16">
        <f>IF(ISBLANK(Wallchart!F46)=TRUE,0,IF(E5&lt;F5,0,IF(E5&gt;F5,3,1)))</f>
        <v>0</v>
      </c>
      <c r="H5" s="16">
        <f>IF(ISBLANK(Wallchart!G46)=TRUE,0,IF(F5&lt;E5,0,IF(F5&gt;E5,3,1)))</f>
        <v>0</v>
      </c>
      <c r="I5" s="16">
        <f>IF(ISBLANK(Wallchart!F46)=TRUE,0,IF(ISBLANK(Wallchart!G46)=TRUE,0,1))</f>
        <v>0</v>
      </c>
      <c r="J5" t="str">
        <f>C1</f>
        <v>Serbia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Serbia</v>
      </c>
      <c r="C6" t="s">
        <v>127</v>
      </c>
      <c r="D6" t="str">
        <f>E1</f>
        <v>Cameroon</v>
      </c>
      <c r="E6" s="16">
        <f>Wallchart!G44</f>
        <v>0</v>
      </c>
      <c r="F6" s="16">
        <f>Wallchart!F44</f>
        <v>0</v>
      </c>
      <c r="G6" s="16">
        <f>IF(ISBLANK(Wallchart!G44)=TRUE,0,IF(E6&lt;F6,0,IF(E6&gt;F6,3,1)))</f>
        <v>0</v>
      </c>
      <c r="H6" s="16">
        <f>IF(ISBLANK(Wallchart!F44)=TRUE,0,IF(F6&lt;E6,0,IF(F6&gt;E6,3,1)))</f>
        <v>0</v>
      </c>
      <c r="I6" s="16">
        <f>IF(ISBLANK(Wallchart!F44)=TRUE,0,IF(ISBLANK(Wallchart!G44)=TRUE,0,1))</f>
        <v>0</v>
      </c>
      <c r="J6" t="str">
        <f>D1</f>
        <v>Switzerland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Cameroon</v>
      </c>
      <c r="C7" t="s">
        <v>127</v>
      </c>
      <c r="D7" t="str">
        <f>B1</f>
        <v>Brazil</v>
      </c>
      <c r="E7" s="16">
        <f>Wallchart!F62</f>
        <v>0</v>
      </c>
      <c r="F7" s="16">
        <f>Wallchart!G62</f>
        <v>0</v>
      </c>
      <c r="G7" s="16">
        <f>IF(ISBLANK(Wallchart!F62)=TRUE,0,IF(E7&lt;F7,0,IF(E7&gt;F7,3,1)))</f>
        <v>0</v>
      </c>
      <c r="H7" s="16">
        <f>IF(ISBLANK(Wallchart!G62)=TRUE,0,IF(F7&lt;E7,0,IF(F7&gt;E7,3,1)))</f>
        <v>0</v>
      </c>
      <c r="I7" s="16">
        <f>IF(ISBLANK(Wallchart!F62)=TRUE,0,IF(ISBLANK(Wallchart!G62)=TRUE,0,1))</f>
        <v>0</v>
      </c>
      <c r="J7" t="str">
        <f>E1</f>
        <v>Cameroon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Switzerland</v>
      </c>
      <c r="C8" t="s">
        <v>127</v>
      </c>
      <c r="D8" t="str">
        <f>C1</f>
        <v>Serbia</v>
      </c>
      <c r="E8" s="16">
        <f>Wallchart!G63</f>
        <v>0</v>
      </c>
      <c r="F8" s="16">
        <f>Wallchart!F63</f>
        <v>0</v>
      </c>
      <c r="G8" s="16">
        <f>IF(ISBLANK(Wallchart!G63)=TRUE,0,IF(E8&lt;F8,0,IF(E8&gt;F8,3,1)))</f>
        <v>0</v>
      </c>
      <c r="H8" s="16">
        <f>IF(ISBLANK(Wallchart!F63)=TRUE,0,IF(F8&lt;E8,0,IF(F8&gt;E8,3,1)))</f>
        <v>0</v>
      </c>
      <c r="I8" s="16">
        <f>IF(ISBLANK(Wallchart!F63)=TRUE,0,IF(ISBLANK(Wallchart!G63)=TRUE,0,1))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Brazil</v>
      </c>
      <c r="L10" t="str">
        <f>C1</f>
        <v>Serbia</v>
      </c>
      <c r="M10" t="str">
        <f>D1</f>
        <v>Switzerland</v>
      </c>
      <c r="N10" t="str">
        <f>E1</f>
        <v>Cameroon</v>
      </c>
      <c r="P10" s="5" t="str">
        <f>B1</f>
        <v>Brazil</v>
      </c>
      <c r="Q10" s="5" t="str">
        <f>C1</f>
        <v>Serbia</v>
      </c>
      <c r="R10" s="5" t="str">
        <f>D1</f>
        <v>Switzerland</v>
      </c>
      <c r="S10" s="5" t="str">
        <f>E1</f>
        <v>Cameroon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Brazil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Brazil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IF(Wallchart!S61="","a",Wallchart!S61)</f>
        <v>a</v>
      </c>
      <c r="J12" t="str">
        <f>C1</f>
        <v>Serbia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Serbia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IF(Wallchart!S62="","b",Wallchart!S62)</f>
        <v>b</v>
      </c>
      <c r="J13" t="str">
        <f>D1</f>
        <v>Switzerland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Switzerland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IF(Wallchart!S63="","c",Wallchart!S63)</f>
        <v>c</v>
      </c>
      <c r="J14" t="str">
        <f>E1</f>
        <v>Cameroon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Cameroon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IF(Wallchart!S64="","d",Wallchart!S64)</f>
        <v>d</v>
      </c>
    </row>
    <row r="16" spans="1:20" ht="15.75" thickBot="1" x14ac:dyDescent="0.3">
      <c r="I16" s="20" t="str">
        <f>IF(SUM(I3:I8)=6,IF(GrpG!W28&gt;0,IF(I12=I13,"Duplicate",IF(I12=I14,"Duplicate",IF(I12=I15,"Duplicate",IF(I13=I14,"Duplicate",IF(I13=I15,"Duplcate",IF(I14=I15,"Duplicate","")))))),""),"")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Brazil</v>
      </c>
      <c r="L17" t="str">
        <f>C1</f>
        <v>Serbia</v>
      </c>
      <c r="M17" t="str">
        <f>D1</f>
        <v>Switzerland</v>
      </c>
      <c r="N17" t="str">
        <f>E1</f>
        <v>Cameroon</v>
      </c>
      <c r="P17" s="5" t="str">
        <f>B1</f>
        <v>Brazil</v>
      </c>
      <c r="Q17" s="5" t="str">
        <f>C1</f>
        <v>Serbia</v>
      </c>
      <c r="R17" s="5" t="str">
        <f>D1</f>
        <v>Switzerland</v>
      </c>
      <c r="S17" s="5" t="str">
        <f>E1</f>
        <v>Cameroon</v>
      </c>
      <c r="T17" s="5" t="s">
        <v>128</v>
      </c>
    </row>
    <row r="18" spans="1:24" x14ac:dyDescent="0.25">
      <c r="J18" t="str">
        <f>B1</f>
        <v>Brazil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Serbia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Switzerland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Cameroon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Brazil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IF(W28&gt;0,IF(A26=GrpG!I12,0.00000004,IF(A26=GrpG!I13,0.00000003,IF(A26=GrpG!I14,0.00000002,0.00000001))),0)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Serbia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IF(W28&gt;0,IF(A27=GrpG!I12,0.00000004,IF(A27=GrpG!I13,0.00000003,IF(A27=GrpG!I14,0.00000002,0.00000001))),0)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Switzerland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IF(W28&gt;0,IF(A28=GrpG!I12,0.00000004,IF(A28=GrpG!I13,0.00000003,IF(A28=GrpG!I14,0.00000002,0.00000001))),0)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Cameroon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IF(W28&gt;0,IF(A29=GrpG!I12,0.00000004,IF(A29=GrpG!I13,0.00000003,IF(A29=GrpG!I14,0.00000002,0.00000001))),0)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count="1">
    <dataValidation allowBlank="1" showErrorMessage="1" prompt="Used for Fifa lots if requried" sqref="I12:I15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X31"/>
  <sheetViews>
    <sheetView topLeftCell="C16" workbookViewId="0">
      <selection activeCell="G8" sqref="G8:I8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Config!C22</f>
        <v>Belgium</v>
      </c>
      <c r="C1" s="16" t="str">
        <f>Config!C23</f>
        <v>Canada</v>
      </c>
      <c r="D1" s="16" t="str">
        <f>Config!C24</f>
        <v>Morocco</v>
      </c>
      <c r="E1" s="16" t="str">
        <f>Config!C25</f>
        <v>Croatia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Belgium</v>
      </c>
      <c r="C3" t="s">
        <v>127</v>
      </c>
      <c r="D3" t="str">
        <f>C1</f>
        <v>Canada</v>
      </c>
      <c r="E3" s="16">
        <f>Wallchart!F27</f>
        <v>0</v>
      </c>
      <c r="F3" s="16">
        <f>Wallchart!G27</f>
        <v>0</v>
      </c>
      <c r="G3" s="16">
        <f>IF(ISBLANK(Wallchart!F27)=TRUE,0,IF(E3&lt;F3,0,IF(E3&gt;F3,3,1)))</f>
        <v>0</v>
      </c>
      <c r="H3" s="16">
        <f>IF(ISBLANK(Wallchart!G27)=TRUE,0,IF(F3&lt;E3,0,IF(F3&gt;E3,3,1)))</f>
        <v>0</v>
      </c>
      <c r="I3" s="16">
        <f>IF(ISBLANK(Wallchart!F27)=TRUE,0,IF(ISBLANK(Wallchart!G27)=TRUE,0,1))</f>
        <v>0</v>
      </c>
      <c r="K3" t="str">
        <f>B1</f>
        <v>Belgium</v>
      </c>
      <c r="L3" t="str">
        <f>C1</f>
        <v>Canada</v>
      </c>
      <c r="M3" t="str">
        <f>D1</f>
        <v>Morocco</v>
      </c>
      <c r="N3" t="str">
        <f>E1</f>
        <v>Croatia</v>
      </c>
      <c r="P3" s="5" t="str">
        <f>B1</f>
        <v>Belgium</v>
      </c>
      <c r="Q3" s="5" t="str">
        <f>C1</f>
        <v>Canada</v>
      </c>
      <c r="R3" s="5" t="str">
        <f>D1</f>
        <v>Morocco</v>
      </c>
      <c r="S3" s="5" t="str">
        <f>E1</f>
        <v>Croatia</v>
      </c>
      <c r="T3" s="5" t="s">
        <v>128</v>
      </c>
    </row>
    <row r="4" spans="1:20" x14ac:dyDescent="0.25">
      <c r="A4">
        <v>2</v>
      </c>
      <c r="B4" t="str">
        <f>D1</f>
        <v>Morocco</v>
      </c>
      <c r="C4" t="s">
        <v>127</v>
      </c>
      <c r="D4" t="str">
        <f>E1</f>
        <v>Croatia</v>
      </c>
      <c r="E4" s="16">
        <f>Wallchart!F24</f>
        <v>0</v>
      </c>
      <c r="F4" s="16">
        <f>Wallchart!G24</f>
        <v>0</v>
      </c>
      <c r="G4" s="16">
        <f>IF(ISBLANK(Wallchart!F24)=TRUE,0,IF(E4&lt;F4,0,IF(E4&gt;F4,3,1)))</f>
        <v>0</v>
      </c>
      <c r="H4" s="16">
        <f>IF(ISBLANK(Wallchart!G24)=TRUE,0,IF(F4&lt;E4,0,IF(F4&gt;E4,3,1)))</f>
        <v>0</v>
      </c>
      <c r="I4" s="16">
        <f>IF(ISBLANK(Wallchart!F24)=TRUE,0,IF(ISBLANK(Wallchart!G24)=TRUE,0,1))</f>
        <v>0</v>
      </c>
      <c r="J4" t="str">
        <f>B1</f>
        <v>Belgium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Belgium</v>
      </c>
      <c r="C5" t="s">
        <v>127</v>
      </c>
      <c r="D5" t="str">
        <f>D1</f>
        <v>Morocco</v>
      </c>
      <c r="E5" s="16">
        <f>Wallchart!F41</f>
        <v>0</v>
      </c>
      <c r="F5" s="16">
        <f>Wallchart!G41</f>
        <v>0</v>
      </c>
      <c r="G5" s="16">
        <f>IF(ISBLANK(Wallchart!F41)=TRUE,0,IF(E5&lt;F5,0,IF(E5&gt;F5,3,1)))</f>
        <v>0</v>
      </c>
      <c r="H5" s="16">
        <f>IF(ISBLANK(Wallchart!G41)=TRUE,0,IF(F5&lt;E5,0,IF(F5&gt;E5,3,1)))</f>
        <v>0</v>
      </c>
      <c r="I5" s="16">
        <f>IF(ISBLANK(Wallchart!F41)=TRUE,0,IF(ISBLANK(Wallchart!G41)=TRUE,0,1))</f>
        <v>0</v>
      </c>
      <c r="J5" t="str">
        <f>C1</f>
        <v>Canada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Canada</v>
      </c>
      <c r="C6" t="s">
        <v>127</v>
      </c>
      <c r="D6" t="str">
        <f>E1</f>
        <v>Croatia</v>
      </c>
      <c r="E6" s="16">
        <f>Wallchart!G42</f>
        <v>0</v>
      </c>
      <c r="F6" s="16">
        <f>Wallchart!F42</f>
        <v>0</v>
      </c>
      <c r="G6" s="16">
        <f>IF(ISBLANK(Wallchart!G42)=TRUE,0,IF(E6&lt;F6,0,IF(E6&gt;F6,3,1)))</f>
        <v>0</v>
      </c>
      <c r="H6" s="16">
        <f>IF(ISBLANK(Wallchart!F42)=TRUE,0,IF(F6&lt;E6,0,IF(F6&gt;E6,3,1)))</f>
        <v>0</v>
      </c>
      <c r="I6" s="16">
        <f>IF(ISBLANK(Wallchart!F42)=TRUE,0,IF(ISBLANK(Wallchart!G42)=TRUE,0,1))</f>
        <v>0</v>
      </c>
      <c r="J6" t="str">
        <f>D1</f>
        <v>Morocco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Croatia</v>
      </c>
      <c r="C7" t="s">
        <v>127</v>
      </c>
      <c r="D7" t="str">
        <f>B1</f>
        <v>Belgium</v>
      </c>
      <c r="E7" s="16">
        <f>Wallchart!F56</f>
        <v>0</v>
      </c>
      <c r="F7" s="16">
        <f>Wallchart!G56</f>
        <v>0</v>
      </c>
      <c r="G7" s="16">
        <f>IF(ISBLANK(Wallchart!F56)=TRUE,0,IF(E7&lt;F7,0,IF(E7&gt;F7,3,1)))</f>
        <v>0</v>
      </c>
      <c r="H7" s="16">
        <f>IF(ISBLANK(Wallchart!G56)=TRUE,0,IF(F7&lt;E7,0,IF(F7&gt;E7,3,1)))</f>
        <v>0</v>
      </c>
      <c r="I7" s="16">
        <f>IF(ISBLANK(Wallchart!F56)=TRUE,0,IF(ISBLANK(Wallchart!G56)=TRUE,0,1))</f>
        <v>0</v>
      </c>
      <c r="J7" t="str">
        <f>E1</f>
        <v>Croatia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Morocco</v>
      </c>
      <c r="C8" t="s">
        <v>127</v>
      </c>
      <c r="D8" t="str">
        <f>C1</f>
        <v>Canada</v>
      </c>
      <c r="E8" s="16">
        <f>Wallchart!G57</f>
        <v>0</v>
      </c>
      <c r="F8" s="16">
        <f>Wallchart!F57</f>
        <v>0</v>
      </c>
      <c r="G8" s="16">
        <f>IF(ISBLANK(Wallchart!G57)=TRUE,0,IF(E8&lt;F8,0,IF(E8&gt;F8,3,1)))</f>
        <v>0</v>
      </c>
      <c r="H8" s="16">
        <f>IF(ISBLANK(Wallchart!F57)=TRUE,0,IF(F8&lt;E8,0,IF(F8&gt;E8,3,1)))</f>
        <v>0</v>
      </c>
      <c r="I8" s="16">
        <f>IF(ISBLANK(Wallchart!F57)=TRUE,0,IF(ISBLANK(Wallchart!G57)=TRUE,0,1))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Belgium</v>
      </c>
      <c r="L10" t="str">
        <f>C1</f>
        <v>Canada</v>
      </c>
      <c r="M10" t="str">
        <f>D1</f>
        <v>Morocco</v>
      </c>
      <c r="N10" t="str">
        <f>E1</f>
        <v>Croatia</v>
      </c>
      <c r="P10" s="5" t="str">
        <f>B1</f>
        <v>Belgium</v>
      </c>
      <c r="Q10" s="5" t="str">
        <f>C1</f>
        <v>Canada</v>
      </c>
      <c r="R10" s="5" t="str">
        <f>D1</f>
        <v>Morocco</v>
      </c>
      <c r="S10" s="5" t="str">
        <f>E1</f>
        <v>Croatia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Belgium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Belgium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IF(Wallchart!S55="","a",Wallchart!S55)</f>
        <v>a</v>
      </c>
      <c r="J12" t="str">
        <f>C1</f>
        <v>Canada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Canada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IF(Wallchart!S56="","b",Wallchart!S56)</f>
        <v>b</v>
      </c>
      <c r="J13" t="str">
        <f>D1</f>
        <v>Morocco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Morocco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IF(Wallchart!S57="","c",Wallchart!S57)</f>
        <v>c</v>
      </c>
      <c r="J14" t="str">
        <f>E1</f>
        <v>Croatia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Croatia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IF(Wallchart!S58="","d",Wallchart!S58)</f>
        <v>d</v>
      </c>
    </row>
    <row r="16" spans="1:20" ht="15.75" thickBot="1" x14ac:dyDescent="0.3">
      <c r="I16" s="20" t="str">
        <f>IF(SUM(I3:I8)=6,IF(GrpF!W28&gt;0,IF(I12=I13,"Duplicate",IF(I12=I14,"Duplicate",IF(I12=I15,"Duplicate",IF(I13=I14,"Duplicate",IF(I13=I15,"Duplcate",IF(I14=I15,"Duplicate","")))))),""),"")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Belgium</v>
      </c>
      <c r="L17" t="str">
        <f>C1</f>
        <v>Canada</v>
      </c>
      <c r="M17" t="str">
        <f>D1</f>
        <v>Morocco</v>
      </c>
      <c r="N17" t="str">
        <f>E1</f>
        <v>Croatia</v>
      </c>
      <c r="P17" s="5" t="str">
        <f>B1</f>
        <v>Belgium</v>
      </c>
      <c r="Q17" s="5" t="str">
        <f>C1</f>
        <v>Canada</v>
      </c>
      <c r="R17" s="5" t="str">
        <f>D1</f>
        <v>Morocco</v>
      </c>
      <c r="S17" s="5" t="str">
        <f>E1</f>
        <v>Croatia</v>
      </c>
      <c r="T17" s="5" t="s">
        <v>128</v>
      </c>
    </row>
    <row r="18" spans="1:24" x14ac:dyDescent="0.25">
      <c r="J18" t="str">
        <f>B1</f>
        <v>Belgium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Canada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Morocco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Croatia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Belgium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IF(W28&gt;0,IF(A26=GrpF!I12,0.00000004,IF(A26=GrpF!I13,0.00000003,IF(A26=GrpF!I14,0.00000002,0.00000001))),0)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Canada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IF(W28&gt;0,IF(A27=GrpF!I12,0.00000004,IF(A27=GrpF!I13,0.00000003,IF(A27=GrpF!I14,0.00000002,0.00000001))),0)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Morocco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IF(W28&gt;0,IF(A28=GrpF!I12,0.00000004,IF(A28=GrpF!I13,0.00000003,IF(A28=GrpF!I14,0.00000002,0.00000001))),0)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Croatia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IF(W28&gt;0,IF(A29=GrpF!I12,0.00000004,IF(A29=GrpF!I13,0.00000003,IF(A29=GrpF!I14,0.00000002,0.00000001))),0)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count="1">
    <dataValidation allowBlank="1" showErrorMessage="1" prompt="Used for Fifa lots if requried" sqref="I12:I15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X31"/>
  <sheetViews>
    <sheetView topLeftCell="C19" workbookViewId="0">
      <selection activeCell="G8" sqref="G8:I8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Config!C18</f>
        <v>Spain</v>
      </c>
      <c r="C1" s="16" t="str">
        <f>Config!C19</f>
        <v>Costa Rica</v>
      </c>
      <c r="D1" s="16" t="str">
        <f>Config!C20</f>
        <v>Germany</v>
      </c>
      <c r="E1" s="16" t="str">
        <f>Config!C21</f>
        <v>Japan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Spain</v>
      </c>
      <c r="C3" t="s">
        <v>127</v>
      </c>
      <c r="D3" t="str">
        <f>C1</f>
        <v>Costa Rica</v>
      </c>
      <c r="E3" s="16">
        <f>Wallchart!F26</f>
        <v>0</v>
      </c>
      <c r="F3" s="16">
        <f>Wallchart!G26</f>
        <v>0</v>
      </c>
      <c r="G3" s="16">
        <f>IF(ISBLANK(Wallchart!F26)=TRUE,0,IF(E3&lt;F3,0,IF(E3&gt;F3,3,1)))</f>
        <v>0</v>
      </c>
      <c r="H3" s="16">
        <f>IF(ISBLANK(Wallchart!G26)=TRUE,0,IF(F3&lt;E3,0,IF(F3&gt;E3,3,1)))</f>
        <v>0</v>
      </c>
      <c r="I3" s="16">
        <f>IF(ISBLANK(Wallchart!F26)=TRUE,0,IF(ISBLANK(Wallchart!G26)=TRUE,0,1))</f>
        <v>0</v>
      </c>
      <c r="K3" t="str">
        <f>B1</f>
        <v>Spain</v>
      </c>
      <c r="L3" t="str">
        <f>C1</f>
        <v>Costa Rica</v>
      </c>
      <c r="M3" t="str">
        <f>D1</f>
        <v>Germany</v>
      </c>
      <c r="N3" t="str">
        <f>E1</f>
        <v>Japan</v>
      </c>
      <c r="P3" s="5" t="str">
        <f>B1</f>
        <v>Spain</v>
      </c>
      <c r="Q3" s="5" t="str">
        <f>C1</f>
        <v>Costa Rica</v>
      </c>
      <c r="R3" s="5" t="str">
        <f>D1</f>
        <v>Germany</v>
      </c>
      <c r="S3" s="5" t="str">
        <f>E1</f>
        <v>Japan</v>
      </c>
      <c r="T3" s="5" t="s">
        <v>128</v>
      </c>
    </row>
    <row r="4" spans="1:20" x14ac:dyDescent="0.25">
      <c r="A4">
        <v>2</v>
      </c>
      <c r="B4" t="str">
        <f>D1</f>
        <v>Germany</v>
      </c>
      <c r="C4" t="s">
        <v>127</v>
      </c>
      <c r="D4" t="str">
        <f>E1</f>
        <v>Japan</v>
      </c>
      <c r="E4" s="16">
        <f>Wallchart!F25</f>
        <v>0</v>
      </c>
      <c r="F4" s="16">
        <f>Wallchart!G25</f>
        <v>0</v>
      </c>
      <c r="G4" s="16">
        <f>IF(ISBLANK(Wallchart!F25)=TRUE,0,IF(E4&lt;F4,0,IF(E4&gt;F4,3,1)))</f>
        <v>0</v>
      </c>
      <c r="H4" s="16">
        <f>IF(ISBLANK(Wallchart!G25)=TRUE,0,IF(F4&lt;E4,0,IF(F4&gt;E4,3,1)))</f>
        <v>0</v>
      </c>
      <c r="I4" s="16">
        <f>IF(ISBLANK(Wallchart!F25)=TRUE,0,IF(ISBLANK(Wallchart!G25)=TRUE,0,1))</f>
        <v>0</v>
      </c>
      <c r="J4" t="str">
        <f>B1</f>
        <v>Spain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Spain</v>
      </c>
      <c r="C5" t="s">
        <v>127</v>
      </c>
      <c r="D5" t="str">
        <f>D1</f>
        <v>Germany</v>
      </c>
      <c r="E5" s="16">
        <f>Wallchart!F43</f>
        <v>0</v>
      </c>
      <c r="F5" s="16">
        <f>Wallchart!G43</f>
        <v>0</v>
      </c>
      <c r="G5" s="16">
        <f>IF(ISBLANK(Wallchart!F43)=TRUE,0,IF(E5&lt;F5,0,IF(E5&gt;F5,3,1)))</f>
        <v>0</v>
      </c>
      <c r="H5" s="16">
        <f>IF(ISBLANK(Wallchart!G43)=TRUE,0,IF(F5&lt;E5,0,IF(F5&gt;E5,3,1)))</f>
        <v>0</v>
      </c>
      <c r="I5" s="16">
        <f>IF(ISBLANK(Wallchart!F43)=TRUE,0,IF(ISBLANK(Wallchart!G43)=TRUE,0,1))</f>
        <v>0</v>
      </c>
      <c r="J5" t="str">
        <f>C1</f>
        <v>Costa Rica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Costa Rica</v>
      </c>
      <c r="C6" t="s">
        <v>127</v>
      </c>
      <c r="D6" t="str">
        <f>E1</f>
        <v>Japan</v>
      </c>
      <c r="E6" s="16">
        <f>Wallchart!G40</f>
        <v>0</v>
      </c>
      <c r="F6" s="16">
        <f>Wallchart!F40</f>
        <v>0</v>
      </c>
      <c r="G6" s="16">
        <f>IF(ISBLANK(Wallchart!G40)=TRUE,0,IF(E6&lt;F6,0,IF(E6&gt;F6,3,1)))</f>
        <v>0</v>
      </c>
      <c r="H6" s="16">
        <f>IF(ISBLANK(Wallchart!F40)=TRUE,0,IF(F6&lt;E6,0,IF(F6&gt;E6,3,1)))</f>
        <v>0</v>
      </c>
      <c r="I6" s="16">
        <f>IF(ISBLANK(Wallchart!F40)=TRUE,0,IF(ISBLANK(Wallchart!G40)=TRUE,0,1))</f>
        <v>0</v>
      </c>
      <c r="J6" t="str">
        <f>D1</f>
        <v>Germany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Japan</v>
      </c>
      <c r="C7" t="s">
        <v>127</v>
      </c>
      <c r="D7" t="str">
        <f>B1</f>
        <v>Spain</v>
      </c>
      <c r="E7" s="16">
        <f>Wallchart!F58</f>
        <v>0</v>
      </c>
      <c r="F7" s="16">
        <f>Wallchart!G58</f>
        <v>0</v>
      </c>
      <c r="G7" s="16">
        <f>IF(ISBLANK(Wallchart!F58)=TRUE,0,IF(E7&lt;F7,0,IF(E7&gt;F7,3,1)))</f>
        <v>0</v>
      </c>
      <c r="H7" s="16">
        <f>IF(ISBLANK(Wallchart!G58)=TRUE,0,IF(F7&lt;E7,0,IF(F7&gt;E7,3,1)))</f>
        <v>0</v>
      </c>
      <c r="I7" s="16">
        <f>IF(ISBLANK(Wallchart!F58)=TRUE,0,IF(ISBLANK(Wallchart!G58)=TRUE,0,1))</f>
        <v>0</v>
      </c>
      <c r="J7" t="str">
        <f>E1</f>
        <v>Japan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Germany</v>
      </c>
      <c r="C8" t="s">
        <v>127</v>
      </c>
      <c r="D8" t="str">
        <f>C1</f>
        <v>Costa Rica</v>
      </c>
      <c r="E8" s="16">
        <f>Wallchart!G59</f>
        <v>0</v>
      </c>
      <c r="F8" s="16">
        <f>Wallchart!F59</f>
        <v>0</v>
      </c>
      <c r="G8" s="16">
        <f>IF(ISBLANK(Wallchart!G59)=TRUE,0,IF(E8&lt;F8,0,IF(E8&gt;F8,3,1)))</f>
        <v>0</v>
      </c>
      <c r="H8" s="16">
        <f>IF(ISBLANK(Wallchart!F59)=TRUE,0,IF(F8&lt;E8,0,IF(F8&gt;E8,3,1)))</f>
        <v>0</v>
      </c>
      <c r="I8" s="16">
        <f>IF(ISBLANK(Wallchart!F59)=TRUE,0,IF(ISBLANK(Wallchart!G59)=TRUE,0,1))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Spain</v>
      </c>
      <c r="L10" t="str">
        <f>C1</f>
        <v>Costa Rica</v>
      </c>
      <c r="M10" t="str">
        <f>D1</f>
        <v>Germany</v>
      </c>
      <c r="N10" t="str">
        <f>E1</f>
        <v>Japan</v>
      </c>
      <c r="P10" s="5" t="str">
        <f>B1</f>
        <v>Spain</v>
      </c>
      <c r="Q10" s="5" t="str">
        <f>C1</f>
        <v>Costa Rica</v>
      </c>
      <c r="R10" s="5" t="str">
        <f>D1</f>
        <v>Germany</v>
      </c>
      <c r="S10" s="5" t="str">
        <f>E1</f>
        <v>Japan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Spain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Spain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IF(Wallchart!S49="","a",Wallchart!S49)</f>
        <v>a</v>
      </c>
      <c r="J12" t="str">
        <f>C1</f>
        <v>Costa Rica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Costa Rica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IF(Wallchart!S50="","b",Wallchart!S50)</f>
        <v>b</v>
      </c>
      <c r="J13" t="str">
        <f>D1</f>
        <v>Germany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Germany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IF(Wallchart!S51="","c",Wallchart!S51)</f>
        <v>c</v>
      </c>
      <c r="J14" t="str">
        <f>E1</f>
        <v>Japan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Japan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IF(Wallchart!S52="","d",Wallchart!S52)</f>
        <v>d</v>
      </c>
    </row>
    <row r="16" spans="1:20" ht="15.75" thickBot="1" x14ac:dyDescent="0.3">
      <c r="I16" s="20" t="str">
        <f>IF(SUM(I3:I8)=6,IF(GrpE!W28&gt;0,IF(I12=I13,"Duplicate",IF(I12=I14,"Duplicate",IF(I12=I15,"Duplicate",IF(I13=I14,"Duplicate",IF(I13=I15,"Duplcate",IF(I14=I15,"Duplicate","")))))),""),"")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Spain</v>
      </c>
      <c r="L17" t="str">
        <f>C1</f>
        <v>Costa Rica</v>
      </c>
      <c r="M17" t="str">
        <f>D1</f>
        <v>Germany</v>
      </c>
      <c r="N17" t="str">
        <f>E1</f>
        <v>Japan</v>
      </c>
      <c r="P17" s="5" t="str">
        <f>B1</f>
        <v>Spain</v>
      </c>
      <c r="Q17" s="5" t="str">
        <f>C1</f>
        <v>Costa Rica</v>
      </c>
      <c r="R17" s="5" t="str">
        <f>D1</f>
        <v>Germany</v>
      </c>
      <c r="S17" s="5" t="str">
        <f>E1</f>
        <v>Japan</v>
      </c>
      <c r="T17" s="5" t="s">
        <v>128</v>
      </c>
    </row>
    <row r="18" spans="1:24" x14ac:dyDescent="0.25">
      <c r="J18" t="str">
        <f>B1</f>
        <v>Spain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Costa Rica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Germany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Japan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Spain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IF(W28&gt;0,IF(A26=GrpE!I12,0.00000004,IF(A26=GrpE!I13,0.00000003,IF(A26=GrpE!I14,0.00000002,0.00000001))),0)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Costa Rica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IF(W28&gt;0,IF(A27=GrpE!I12,0.00000004,IF(A27=GrpE!I13,0.00000003,IF(A27=GrpE!I14,0.00000002,0.00000001))),0)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Germany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IF(W28&gt;0,IF(A28=GrpE!I12,0.00000004,IF(A28=GrpE!I13,0.00000003,IF(A28=GrpE!I14,0.00000002,0.00000001))),0)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Japan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IF(W28&gt;0,IF(A29=GrpE!I12,0.00000004,IF(A29=GrpE!I13,0.00000003,IF(A29=GrpE!I14,0.00000002,0.00000001))),0)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count="1">
    <dataValidation allowBlank="1" showErrorMessage="1" prompt="Used for Fifa lots if requried" sqref="I12:I15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X31"/>
  <sheetViews>
    <sheetView topLeftCell="C19" workbookViewId="0">
      <selection activeCell="G8" sqref="G8:I8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Config!C14</f>
        <v>France</v>
      </c>
      <c r="C1" s="16" t="str">
        <f>Config!C15</f>
        <v>Australia</v>
      </c>
      <c r="D1" s="16" t="str">
        <f>Config!C16</f>
        <v>Denmark</v>
      </c>
      <c r="E1" s="16" t="str">
        <f>Config!C17</f>
        <v>Tunisia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France</v>
      </c>
      <c r="C3" t="s">
        <v>127</v>
      </c>
      <c r="D3" t="str">
        <f>C1</f>
        <v>Australia</v>
      </c>
      <c r="E3" s="16">
        <f>Wallchart!F23</f>
        <v>0</v>
      </c>
      <c r="F3" s="16">
        <f>Wallchart!G23</f>
        <v>0</v>
      </c>
      <c r="G3" s="16">
        <f>IF(ISBLANK(Wallchart!F23)=TRUE,0,IF(E3&lt;F3,0,IF(E3&gt;F3,3,1)))</f>
        <v>0</v>
      </c>
      <c r="H3" s="16">
        <f>IF(ISBLANK(Wallchart!G23)=TRUE,0,IF(F3&lt;E3,0,IF(F3&gt;E3,3,1)))</f>
        <v>0</v>
      </c>
      <c r="I3" s="16">
        <f>IF(ISBLANK(Wallchart!F23)=TRUE,0,IF(ISBLANK(Wallchart!G23)=TRUE,0,1))</f>
        <v>0</v>
      </c>
      <c r="K3" t="str">
        <f>B1</f>
        <v>France</v>
      </c>
      <c r="L3" t="str">
        <f>C1</f>
        <v>Australia</v>
      </c>
      <c r="M3" t="str">
        <f>D1</f>
        <v>Denmark</v>
      </c>
      <c r="N3" t="str">
        <f>E1</f>
        <v>Tunisia</v>
      </c>
      <c r="P3" s="5" t="str">
        <f>B1</f>
        <v>France</v>
      </c>
      <c r="Q3" s="5" t="str">
        <f>C1</f>
        <v>Australia</v>
      </c>
      <c r="R3" s="5" t="str">
        <f>D1</f>
        <v>Denmark</v>
      </c>
      <c r="S3" s="5" t="str">
        <f>E1</f>
        <v>Tunisia</v>
      </c>
      <c r="T3" s="5" t="s">
        <v>128</v>
      </c>
    </row>
    <row r="4" spans="1:20" x14ac:dyDescent="0.25">
      <c r="A4">
        <v>2</v>
      </c>
      <c r="B4" t="str">
        <f>D1</f>
        <v>Denmark</v>
      </c>
      <c r="C4" t="s">
        <v>127</v>
      </c>
      <c r="D4" t="str">
        <f>E1</f>
        <v>Tunisia</v>
      </c>
      <c r="E4" s="16">
        <f>Wallchart!F21</f>
        <v>0</v>
      </c>
      <c r="F4" s="16">
        <f>Wallchart!G21</f>
        <v>0</v>
      </c>
      <c r="G4" s="16">
        <f>IF(ISBLANK(Wallchart!F21)=TRUE,0,IF(E4&lt;F4,0,IF(E4&gt;F4,3,1)))</f>
        <v>0</v>
      </c>
      <c r="H4" s="16">
        <f>IF(ISBLANK(Wallchart!G21)=TRUE,0,IF(F4&lt;E4,0,IF(F4&gt;E4,3,1)))</f>
        <v>0</v>
      </c>
      <c r="I4" s="16">
        <f>IF(ISBLANK(Wallchart!F21)=TRUE,0,IF(ISBLANK(Wallchart!G21)=TRUE,0,1))</f>
        <v>0</v>
      </c>
      <c r="J4" t="str">
        <f>B1</f>
        <v>France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France</v>
      </c>
      <c r="C5" t="s">
        <v>127</v>
      </c>
      <c r="D5" t="str">
        <f>D1</f>
        <v>Denmark</v>
      </c>
      <c r="E5" s="16">
        <f>Wallchart!F38</f>
        <v>0</v>
      </c>
      <c r="F5" s="16">
        <f>Wallchart!G38</f>
        <v>0</v>
      </c>
      <c r="G5" s="16">
        <f>IF(ISBLANK(Wallchart!F38)=TRUE,0,IF(E5&lt;F5,0,IF(E5&gt;F5,3,1)))</f>
        <v>0</v>
      </c>
      <c r="H5" s="16">
        <f>IF(ISBLANK(Wallchart!G38)=TRUE,0,IF(F5&lt;E5,0,IF(F5&gt;E5,3,1)))</f>
        <v>0</v>
      </c>
      <c r="I5" s="16">
        <f>IF(ISBLANK(Wallchart!F38)=TRUE,0,IF(ISBLANK(Wallchart!G38)=TRUE,0,1))</f>
        <v>0</v>
      </c>
      <c r="J5" t="str">
        <f>C1</f>
        <v>Australia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Australia</v>
      </c>
      <c r="C6" t="s">
        <v>127</v>
      </c>
      <c r="D6" t="str">
        <f>E1</f>
        <v>Tunisia</v>
      </c>
      <c r="E6" s="16">
        <f>Wallchart!G36</f>
        <v>0</v>
      </c>
      <c r="F6" s="16">
        <f>Wallchart!F36</f>
        <v>0</v>
      </c>
      <c r="G6" s="16">
        <f>IF(ISBLANK(Wallchart!G36)=TRUE,0,IF(E6&lt;F6,0,IF(E6&gt;F6,3,1)))</f>
        <v>0</v>
      </c>
      <c r="H6" s="16">
        <f>IF(ISBLANK(Wallchart!F36)=TRUE,0,IF(F6&lt;E6,0,IF(F6&gt;E6,3,1)))</f>
        <v>0</v>
      </c>
      <c r="I6" s="16">
        <f>IF(ISBLANK(Wallchart!F36)=TRUE,0,IF(ISBLANK(Wallchart!G36)=TRUE,0,1))</f>
        <v>0</v>
      </c>
      <c r="J6" t="str">
        <f>D1</f>
        <v>Denmark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Tunisia</v>
      </c>
      <c r="C7" t="s">
        <v>127</v>
      </c>
      <c r="D7" t="str">
        <f>B1</f>
        <v>France</v>
      </c>
      <c r="E7" s="16">
        <f>Wallchart!F52</f>
        <v>0</v>
      </c>
      <c r="F7" s="16">
        <f>Wallchart!G52</f>
        <v>0</v>
      </c>
      <c r="G7" s="16">
        <f>IF(ISBLANK(Wallchart!F52)=TRUE,0,IF(E7&lt;F7,0,IF(E7&gt;F7,3,1)))</f>
        <v>0</v>
      </c>
      <c r="H7" s="16">
        <f>IF(ISBLANK(Wallchart!G52)=TRUE,0,IF(F7&lt;E7,0,IF(F7&gt;E7,3,1)))</f>
        <v>0</v>
      </c>
      <c r="I7" s="16">
        <f>IF(ISBLANK(Wallchart!F52)=TRUE,0,IF(ISBLANK(Wallchart!G52)=TRUE,0,1))</f>
        <v>0</v>
      </c>
      <c r="J7" t="str">
        <f>E1</f>
        <v>Tunisia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Denmark</v>
      </c>
      <c r="C8" t="s">
        <v>127</v>
      </c>
      <c r="D8" t="str">
        <f>C1</f>
        <v>Australia</v>
      </c>
      <c r="E8" s="16">
        <f>Wallchart!G53</f>
        <v>0</v>
      </c>
      <c r="F8" s="16">
        <f>Wallchart!F53</f>
        <v>0</v>
      </c>
      <c r="G8" s="16">
        <f>IF(ISBLANK(Wallchart!G53)=TRUE,0,IF(E8&lt;F8,0,IF(E8&gt;F8,3,1)))</f>
        <v>0</v>
      </c>
      <c r="H8" s="16">
        <f>IF(ISBLANK(Wallchart!F53)=TRUE,0,IF(F8&lt;E8,0,IF(F8&gt;E8,3,1)))</f>
        <v>0</v>
      </c>
      <c r="I8" s="16">
        <f>IF(ISBLANK(Wallchart!F53)=TRUE,0,IF(ISBLANK(Wallchart!G53)=TRUE,0,1))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France</v>
      </c>
      <c r="L10" t="str">
        <f>C1</f>
        <v>Australia</v>
      </c>
      <c r="M10" t="str">
        <f>D1</f>
        <v>Denmark</v>
      </c>
      <c r="N10" t="str">
        <f>E1</f>
        <v>Tunisia</v>
      </c>
      <c r="P10" s="5" t="str">
        <f>B1</f>
        <v>France</v>
      </c>
      <c r="Q10" s="5" t="str">
        <f>C1</f>
        <v>Australia</v>
      </c>
      <c r="R10" s="5" t="str">
        <f>D1</f>
        <v>Denmark</v>
      </c>
      <c r="S10" s="5" t="str">
        <f>E1</f>
        <v>Tunisia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France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France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IF(Wallchart!S43="","a",Wallchart!S43)</f>
        <v>a</v>
      </c>
      <c r="J12" t="str">
        <f>C1</f>
        <v>Australia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Australia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IF(Wallchart!S44="","b",Wallchart!S44)</f>
        <v>b</v>
      </c>
      <c r="J13" t="str">
        <f>D1</f>
        <v>Denmark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Denmark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IF(Wallchart!S45="","c",Wallchart!S45)</f>
        <v>c</v>
      </c>
      <c r="J14" t="str">
        <f>E1</f>
        <v>Tunisia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Tunisia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IF(Wallchart!S46="","d",Wallchart!S46)</f>
        <v>d</v>
      </c>
    </row>
    <row r="16" spans="1:20" ht="15.75" thickBot="1" x14ac:dyDescent="0.3">
      <c r="I16" s="20" t="str">
        <f>IF(SUM(I3:I8)=6,IF(GrpD!W28&gt;0,IF(I12=I13,"Duplicate",IF(I12=I14,"Duplicate",IF(I12=I15,"Duplicate",IF(I13=I14,"Duplicate",IF(I13=I15,"Duplcate",IF(I14=I15,"Duplicate","")))))),""),"")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France</v>
      </c>
      <c r="L17" t="str">
        <f>C1</f>
        <v>Australia</v>
      </c>
      <c r="M17" t="str">
        <f>D1</f>
        <v>Denmark</v>
      </c>
      <c r="N17" t="str">
        <f>E1</f>
        <v>Tunisia</v>
      </c>
      <c r="P17" s="5" t="str">
        <f>B1</f>
        <v>France</v>
      </c>
      <c r="Q17" s="5" t="str">
        <f>C1</f>
        <v>Australia</v>
      </c>
      <c r="R17" s="5" t="str">
        <f>D1</f>
        <v>Denmark</v>
      </c>
      <c r="S17" s="5" t="str">
        <f>E1</f>
        <v>Tunisia</v>
      </c>
      <c r="T17" s="5" t="s">
        <v>128</v>
      </c>
    </row>
    <row r="18" spans="1:24" x14ac:dyDescent="0.25">
      <c r="J18" t="str">
        <f>B1</f>
        <v>France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Australia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Denmark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Tunisia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France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IF(W28&gt;0,IF(A26=GrpD!I12,0.00000004,IF(A26=GrpD!I13,0.00000003,IF(A26=GrpD!I14,0.00000002,0.00000001))),0)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Australia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IF(W28&gt;0,IF(A27=GrpD!I12,0.00000004,IF(A27=GrpD!I13,0.00000003,IF(A27=GrpD!I14,0.00000002,0.00000001))),0)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Denmark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IF(W28&gt;0,IF(A28=GrpD!I12,0.00000004,IF(A28=GrpD!I13,0.00000003,IF(A28=GrpD!I14,0.00000002,0.00000001))),0)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Tunisia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IF(W28&gt;0,IF(A29=GrpD!I12,0.00000004,IF(A29=GrpD!I13,0.00000003,IF(A29=GrpD!I14,0.00000002,0.00000001))),0)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count="1">
    <dataValidation allowBlank="1" showErrorMessage="1" prompt="Used for Fifa lots if requried" sqref="I12:I15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X31"/>
  <sheetViews>
    <sheetView topLeftCell="C16" workbookViewId="0">
      <selection activeCell="H22" sqref="H22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Config!C10</f>
        <v>Argentina</v>
      </c>
      <c r="C1" s="16" t="str">
        <f>Config!C11</f>
        <v>Saudi Arabia</v>
      </c>
      <c r="D1" s="16" t="str">
        <f>Config!C12</f>
        <v>Mexico</v>
      </c>
      <c r="E1" s="16" t="str">
        <f>Config!C13</f>
        <v>Poland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Argentina</v>
      </c>
      <c r="C3" t="s">
        <v>127</v>
      </c>
      <c r="D3" t="str">
        <f>C1</f>
        <v>Saudi Arabia</v>
      </c>
      <c r="E3" s="16">
        <f>Wallchart!F20</f>
        <v>0</v>
      </c>
      <c r="F3" s="16">
        <f>Wallchart!G20</f>
        <v>0</v>
      </c>
      <c r="G3" s="16">
        <f>IF(ISBLANK(Wallchart!F20)=TRUE,0,IF(E3&lt;F3,0,IF(E3&gt;F3,3,1)))</f>
        <v>0</v>
      </c>
      <c r="H3" s="16">
        <f>IF(ISBLANK(Wallchart!G20)=TRUE,0,IF(F3&lt;E3,0,IF(F3&gt;E3,3,1)))</f>
        <v>0</v>
      </c>
      <c r="I3" s="16">
        <f>IF(ISBLANK(Wallchart!F20)=TRUE,0,IF(ISBLANK(Wallchart!G20)=TRUE,0,1))</f>
        <v>0</v>
      </c>
      <c r="K3" t="str">
        <f>B1</f>
        <v>Argentina</v>
      </c>
      <c r="L3" t="str">
        <f>C1</f>
        <v>Saudi Arabia</v>
      </c>
      <c r="M3" t="str">
        <f>D1</f>
        <v>Mexico</v>
      </c>
      <c r="N3" t="str">
        <f>E1</f>
        <v>Poland</v>
      </c>
      <c r="P3" s="5" t="str">
        <f>B1</f>
        <v>Argentina</v>
      </c>
      <c r="Q3" s="5" t="str">
        <f>C1</f>
        <v>Saudi Arabia</v>
      </c>
      <c r="R3" s="5" t="str">
        <f>D1</f>
        <v>Mexico</v>
      </c>
      <c r="S3" s="5" t="str">
        <f>E1</f>
        <v>Poland</v>
      </c>
      <c r="T3" s="5" t="s">
        <v>128</v>
      </c>
    </row>
    <row r="4" spans="1:20" x14ac:dyDescent="0.25">
      <c r="A4">
        <v>2</v>
      </c>
      <c r="B4" t="str">
        <f>D1</f>
        <v>Mexico</v>
      </c>
      <c r="C4" t="s">
        <v>127</v>
      </c>
      <c r="D4" t="str">
        <f>E1</f>
        <v>Poland</v>
      </c>
      <c r="E4" s="16">
        <f>Wallchart!F22</f>
        <v>0</v>
      </c>
      <c r="F4" s="16">
        <f>Wallchart!G22</f>
        <v>0</v>
      </c>
      <c r="G4" s="16">
        <f>IF(ISBLANK(Wallchart!F22)=TRUE,0,IF(E4&lt;F4,0,IF(E4&gt;F4,3,1)))</f>
        <v>0</v>
      </c>
      <c r="H4" s="16">
        <f>IF(ISBLANK(Wallchart!G22)=TRUE,0,IF(F4&lt;E4,0,IF(F4&gt;E4,3,1)))</f>
        <v>0</v>
      </c>
      <c r="I4" s="16">
        <f>IF(ISBLANK(Wallchart!F22)=TRUE,0,IF(ISBLANK(Wallchart!G22)=TRUE,0,1))</f>
        <v>0</v>
      </c>
      <c r="J4" t="str">
        <f>B1</f>
        <v>Argentina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Argentina</v>
      </c>
      <c r="C5" t="s">
        <v>127</v>
      </c>
      <c r="D5" t="str">
        <f>D1</f>
        <v>Mexico</v>
      </c>
      <c r="E5" s="16">
        <f>Wallchart!F39</f>
        <v>0</v>
      </c>
      <c r="F5" s="16">
        <f>Wallchart!G39</f>
        <v>0</v>
      </c>
      <c r="G5" s="16">
        <f>IF(ISBLANK(Wallchart!F39)=TRUE,0,IF(E5&lt;F5,0,IF(E5&gt;F5,3,1)))</f>
        <v>0</v>
      </c>
      <c r="H5" s="16">
        <f>IF(ISBLANK(Wallchart!G39)=TRUE,0,IF(F5&lt;E5,0,IF(F5&gt;E5,3,1)))</f>
        <v>0</v>
      </c>
      <c r="I5" s="16">
        <f>IF(ISBLANK(Wallchart!F39)=TRUE,0,IF(ISBLANK(Wallchart!G39)=TRUE,0,1))</f>
        <v>0</v>
      </c>
      <c r="J5" t="str">
        <f>C1</f>
        <v>Saudi Arabia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Saudi Arabia</v>
      </c>
      <c r="C6" t="s">
        <v>127</v>
      </c>
      <c r="D6" t="str">
        <f>E1</f>
        <v>Poland</v>
      </c>
      <c r="E6" s="16">
        <f>Wallchart!G37</f>
        <v>0</v>
      </c>
      <c r="F6" s="16">
        <f>Wallchart!F37</f>
        <v>0</v>
      </c>
      <c r="G6" s="16">
        <f>IF(ISBLANK(Wallchart!G37)=TRUE,0,IF(E6&lt;F6,0,IF(E6&gt;F6,3,1)))</f>
        <v>0</v>
      </c>
      <c r="H6" s="16">
        <f>IF(ISBLANK(Wallchart!F37)=TRUE,0,IF(F6&lt;E6,0,IF(F6&gt;E6,3,1)))</f>
        <v>0</v>
      </c>
      <c r="I6" s="16">
        <f>IF(ISBLANK(Wallchart!F37)=TRUE,0,IF(ISBLANK(Wallchart!G37)=TRUE,0,1))</f>
        <v>0</v>
      </c>
      <c r="J6" t="str">
        <f>D1</f>
        <v>Mexico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Poland</v>
      </c>
      <c r="C7" t="s">
        <v>127</v>
      </c>
      <c r="D7" t="str">
        <f>B1</f>
        <v>Argentina</v>
      </c>
      <c r="E7" s="16">
        <f>Wallchart!F54</f>
        <v>0</v>
      </c>
      <c r="F7" s="16">
        <f>Wallchart!G54</f>
        <v>0</v>
      </c>
      <c r="G7" s="16">
        <f>IF(ISBLANK(Wallchart!F54)=TRUE,0,IF(E7&lt;F7,0,IF(E7&gt;F7,3,1)))</f>
        <v>0</v>
      </c>
      <c r="H7" s="16">
        <f>IF(ISBLANK(Wallchart!G54)=TRUE,0,IF(F7&lt;E7,0,IF(F7&gt;E7,3,1)))</f>
        <v>0</v>
      </c>
      <c r="I7" s="16">
        <f>IF(ISBLANK(Wallchart!F54)=TRUE,0,IF(ISBLANK(Wallchart!G54)=TRUE,0,1))</f>
        <v>0</v>
      </c>
      <c r="J7" t="str">
        <f>E1</f>
        <v>Poland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Mexico</v>
      </c>
      <c r="C8" t="s">
        <v>127</v>
      </c>
      <c r="D8" t="str">
        <f>C1</f>
        <v>Saudi Arabia</v>
      </c>
      <c r="E8" s="16">
        <f>Wallchart!G55</f>
        <v>0</v>
      </c>
      <c r="F8" s="16">
        <f>Wallchart!F55</f>
        <v>0</v>
      </c>
      <c r="G8" s="16">
        <f>IF(ISBLANK(Wallchart!G55)=TRUE,0,IF(E8&lt;F8,0,IF(E8&gt;F8,3,1)))</f>
        <v>0</v>
      </c>
      <c r="H8" s="16">
        <f>IF(ISBLANK(Wallchart!F55)=TRUE,0,IF(F8&lt;E8,0,IF(F8&gt;E8,3,1)))</f>
        <v>0</v>
      </c>
      <c r="I8" s="16">
        <f>IF(ISBLANK(Wallchart!F55)=TRUE,0,IF(ISBLANK(Wallchart!G55)=TRUE,0,1))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Argentina</v>
      </c>
      <c r="L10" t="str">
        <f>C1</f>
        <v>Saudi Arabia</v>
      </c>
      <c r="M10" t="str">
        <f>D1</f>
        <v>Mexico</v>
      </c>
      <c r="N10" t="str">
        <f>E1</f>
        <v>Poland</v>
      </c>
      <c r="P10" s="5" t="str">
        <f>B1</f>
        <v>Argentina</v>
      </c>
      <c r="Q10" s="5" t="str">
        <f>C1</f>
        <v>Saudi Arabia</v>
      </c>
      <c r="R10" s="5" t="str">
        <f>D1</f>
        <v>Mexico</v>
      </c>
      <c r="S10" s="5" t="str">
        <f>E1</f>
        <v>Poland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Argentina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Argentina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22" t="str">
        <f>IF(Wallchart!S37="","a",Wallchart!S37)</f>
        <v>a</v>
      </c>
      <c r="J12" t="str">
        <f>C1</f>
        <v>Saudi Arabia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Saudi Arabia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22" t="str">
        <f>IF(Wallchart!S38="","b",Wallchart!S38)</f>
        <v>b</v>
      </c>
      <c r="J13" t="str">
        <f>D1</f>
        <v>Mexico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Mexico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22" t="str">
        <f>IF(Wallchart!S39="","c",Wallchart!S39)</f>
        <v>c</v>
      </c>
      <c r="J14" t="str">
        <f>E1</f>
        <v>Poland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Poland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22" t="str">
        <f>IF(Wallchart!S40="","d",Wallchart!S40)</f>
        <v>d</v>
      </c>
    </row>
    <row r="16" spans="1:20" ht="15.75" thickBot="1" x14ac:dyDescent="0.3">
      <c r="I16" s="20" t="str">
        <f>IF(SUM(I3:I8)=6,IF(GrpC!W28&gt;0,IF(I12=I13,"Duplicate",IF(I12=I14,"Duplicate",IF(I12=I15,"Duplicate",IF(I13=I14,"Duplicate",IF(I13=I15,"Duplcate",IF(I14=I15,"Duplicate","")))))),""),"")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Argentina</v>
      </c>
      <c r="L17" t="str">
        <f>C1</f>
        <v>Saudi Arabia</v>
      </c>
      <c r="M17" t="str">
        <f>D1</f>
        <v>Mexico</v>
      </c>
      <c r="N17" t="str">
        <f>E1</f>
        <v>Poland</v>
      </c>
      <c r="P17" s="5" t="str">
        <f>B1</f>
        <v>Argentina</v>
      </c>
      <c r="Q17" s="5" t="str">
        <f>C1</f>
        <v>Saudi Arabia</v>
      </c>
      <c r="R17" s="5" t="str">
        <f>D1</f>
        <v>Mexico</v>
      </c>
      <c r="S17" s="5" t="str">
        <f>E1</f>
        <v>Poland</v>
      </c>
      <c r="T17" s="5" t="s">
        <v>128</v>
      </c>
    </row>
    <row r="18" spans="1:24" x14ac:dyDescent="0.25">
      <c r="J18" t="str">
        <f>B1</f>
        <v>Argentina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Saudi Arabia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Mexico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Poland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Argentina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IF(W28&gt;0,IF(A26=GrpC!I12,0.00000004,IF(A26=GrpC!I13,0.00000003,IF(A26=GrpC!I14,0.00000002,0.00000001))),0)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Saudi Arabia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IF(W28&gt;0,IF(A27=GrpC!I12,0.00000004,IF(A27=GrpC!I13,0.00000003,IF(A27=GrpC!I14,0.00000002,0.00000001))),0)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Mexico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IF(W28&gt;0,IF(A28=GrpC!I12,0.00000004,IF(A28=GrpC!I13,0.00000003,IF(A28=GrpC!I14,0.00000002,0.00000001))),0)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Poland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IF(W28&gt;0,IF(A29=GrpC!I12,0.00000004,IF(A29=GrpC!I13,0.00000003,IF(A29=GrpC!I14,0.00000002,0.00000001))),0)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disablePrompts="1" count="1">
    <dataValidation allowBlank="1" showErrorMessage="1" prompt="Used for Fifa lots if requried" sqref="I12:I15" xr:uid="{00000000-0002-0000-0500-000000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X31"/>
  <sheetViews>
    <sheetView topLeftCell="C1" workbookViewId="0">
      <selection activeCell="G6" sqref="G6"/>
    </sheetView>
  </sheetViews>
  <sheetFormatPr defaultRowHeight="15" x14ac:dyDescent="0.25"/>
  <cols>
    <col min="9" max="9" width="9" bestFit="1" customWidth="1"/>
    <col min="10" max="10" width="11.7109375" bestFit="1" customWidth="1"/>
    <col min="11" max="11" width="11" customWidth="1"/>
    <col min="12" max="14" width="8.42578125" bestFit="1" customWidth="1"/>
    <col min="15" max="15" width="10" bestFit="1" customWidth="1"/>
    <col min="17" max="17" width="12" bestFit="1" customWidth="1"/>
  </cols>
  <sheetData>
    <row r="1" spans="1:20" x14ac:dyDescent="0.25">
      <c r="B1" s="16" t="str">
        <f>Config!C6</f>
        <v>England</v>
      </c>
      <c r="C1" s="16" t="str">
        <f>Config!C7</f>
        <v>Iran</v>
      </c>
      <c r="D1" s="16" t="str">
        <f>Config!C8</f>
        <v>USA</v>
      </c>
      <c r="E1" s="16" t="str">
        <f>Config!C9</f>
        <v>Wales</v>
      </c>
      <c r="K1" t="s">
        <v>139</v>
      </c>
    </row>
    <row r="2" spans="1:20" x14ac:dyDescent="0.25">
      <c r="B2" t="s">
        <v>167</v>
      </c>
      <c r="D2" t="s">
        <v>168</v>
      </c>
      <c r="E2" t="s">
        <v>165</v>
      </c>
      <c r="F2" t="s">
        <v>166</v>
      </c>
      <c r="G2" t="s">
        <v>125</v>
      </c>
      <c r="H2" t="s">
        <v>169</v>
      </c>
      <c r="I2" t="s">
        <v>170</v>
      </c>
      <c r="K2" s="256" t="s">
        <v>126</v>
      </c>
      <c r="L2" s="256"/>
      <c r="M2" s="256"/>
      <c r="N2" s="256"/>
    </row>
    <row r="3" spans="1:20" x14ac:dyDescent="0.25">
      <c r="A3">
        <v>1</v>
      </c>
      <c r="B3" t="str">
        <f>B1</f>
        <v>England</v>
      </c>
      <c r="C3" t="s">
        <v>127</v>
      </c>
      <c r="D3" t="str">
        <f>C1</f>
        <v>Iran</v>
      </c>
      <c r="E3" s="16">
        <f>Wallchart!F18</f>
        <v>0</v>
      </c>
      <c r="F3" s="16">
        <f>Wallchart!G18</f>
        <v>0</v>
      </c>
      <c r="G3" s="16">
        <f>IF(ISBLANK(Wallchart!F18)=TRUE,0,IF(E3&lt;F3,0,IF(E3&gt;F3,3,1)))</f>
        <v>0</v>
      </c>
      <c r="H3" s="16">
        <f>IF(ISBLANK(Wallchart!G18)=TRUE,0,IF(F3&lt;E3,0,IF(F3&gt;E3,3,1)))</f>
        <v>0</v>
      </c>
      <c r="I3" s="16">
        <f>IF(ISBLANK(Wallchart!F18)=TRUE,0,IF(ISBLANK(Wallchart!G18)=TRUE,0,1))</f>
        <v>0</v>
      </c>
      <c r="K3" t="str">
        <f>B1</f>
        <v>England</v>
      </c>
      <c r="L3" t="str">
        <f>C1</f>
        <v>Iran</v>
      </c>
      <c r="M3" t="str">
        <f>D1</f>
        <v>USA</v>
      </c>
      <c r="N3" t="str">
        <f>E1</f>
        <v>Wales</v>
      </c>
      <c r="P3" s="5" t="str">
        <f>B1</f>
        <v>England</v>
      </c>
      <c r="Q3" s="5" t="str">
        <f>C1</f>
        <v>Iran</v>
      </c>
      <c r="R3" s="5" t="str">
        <f>D1</f>
        <v>USA</v>
      </c>
      <c r="S3" s="5" t="str">
        <f>E1</f>
        <v>Wales</v>
      </c>
      <c r="T3" s="5" t="s">
        <v>128</v>
      </c>
    </row>
    <row r="4" spans="1:20" x14ac:dyDescent="0.25">
      <c r="A4">
        <v>2</v>
      </c>
      <c r="B4" t="str">
        <f>D1</f>
        <v>USA</v>
      </c>
      <c r="C4" t="s">
        <v>127</v>
      </c>
      <c r="D4" t="str">
        <f>E1</f>
        <v>Wales</v>
      </c>
      <c r="E4" s="16">
        <f>Wallchart!F19</f>
        <v>0</v>
      </c>
      <c r="F4" s="16">
        <f>Wallchart!G19</f>
        <v>0</v>
      </c>
      <c r="G4" s="16">
        <f>IF(ISBLANK(Wallchart!F19)=TRUE,0,IF(E4&lt;F4,0,IF(E4&gt;F4,3,1)))</f>
        <v>0</v>
      </c>
      <c r="H4" s="16">
        <f>IF(ISBLANK(Wallchart!G19)=TRUE,0,IF(F4&lt;E4,0,IF(F4&gt;E4,3,1)))</f>
        <v>0</v>
      </c>
      <c r="I4" s="16">
        <f>IF(ISBLANK(Wallchart!F19)=TRUE,0,IF(ISBLANK(Wallchart!G19)=TRUE,0,1))</f>
        <v>0</v>
      </c>
      <c r="J4" t="str">
        <f>B1</f>
        <v>England</v>
      </c>
      <c r="K4">
        <v>0</v>
      </c>
      <c r="L4">
        <f>E3</f>
        <v>0</v>
      </c>
      <c r="M4">
        <f>E5</f>
        <v>0</v>
      </c>
      <c r="N4">
        <f>F7</f>
        <v>0</v>
      </c>
      <c r="P4">
        <v>0</v>
      </c>
      <c r="Q4">
        <f>IF(N26=N27,L4,0)</f>
        <v>0</v>
      </c>
      <c r="R4">
        <f>IF(N26=N28,M4,0)</f>
        <v>0</v>
      </c>
      <c r="S4">
        <f>IF(N26=N29,N4,0)</f>
        <v>0</v>
      </c>
      <c r="T4">
        <f>SUM(P4:S4)</f>
        <v>0</v>
      </c>
    </row>
    <row r="5" spans="1:20" x14ac:dyDescent="0.25">
      <c r="A5">
        <v>3</v>
      </c>
      <c r="B5" t="str">
        <f>B1</f>
        <v>England</v>
      </c>
      <c r="C5" t="s">
        <v>127</v>
      </c>
      <c r="D5" t="str">
        <f>D1</f>
        <v>USA</v>
      </c>
      <c r="E5" s="16">
        <f>Wallchart!F35</f>
        <v>0</v>
      </c>
      <c r="F5" s="16">
        <f>Wallchart!G35</f>
        <v>0</v>
      </c>
      <c r="G5" s="16">
        <f>IF(ISBLANK(Wallchart!F35)=TRUE,0,IF(E5&lt;F5,0,IF(E5&gt;F5,3,1)))</f>
        <v>0</v>
      </c>
      <c r="H5" s="16">
        <f>IF(ISBLANK(Wallchart!G35)=TRUE,0,IF(F5&lt;E5,0,IF(F5&gt;E5,3,1)))</f>
        <v>0</v>
      </c>
      <c r="I5" s="16">
        <f>IF(ISBLANK(Wallchart!F35)=TRUE,0,IF(ISBLANK(Wallchart!G35)=TRUE,0,1))</f>
        <v>0</v>
      </c>
      <c r="J5" t="str">
        <f>C1</f>
        <v>Iran</v>
      </c>
      <c r="K5">
        <f>F3</f>
        <v>0</v>
      </c>
      <c r="L5">
        <v>0</v>
      </c>
      <c r="M5">
        <f>F8</f>
        <v>0</v>
      </c>
      <c r="N5">
        <f>E6</f>
        <v>0</v>
      </c>
      <c r="P5">
        <f>IF(N27=N26,K5,0)</f>
        <v>0</v>
      </c>
      <c r="Q5">
        <v>0</v>
      </c>
      <c r="R5">
        <f>IF(N27=N28,M5,0)</f>
        <v>0</v>
      </c>
      <c r="S5">
        <f>IF(N27=N29,N5,0)</f>
        <v>0</v>
      </c>
      <c r="T5">
        <f>SUM(P5:S5)</f>
        <v>0</v>
      </c>
    </row>
    <row r="6" spans="1:20" x14ac:dyDescent="0.25">
      <c r="A6">
        <v>4</v>
      </c>
      <c r="B6" t="str">
        <f>C1</f>
        <v>Iran</v>
      </c>
      <c r="C6" t="s">
        <v>127</v>
      </c>
      <c r="D6" t="str">
        <f>E1</f>
        <v>Wales</v>
      </c>
      <c r="E6" s="16">
        <f>Wallchart!G32</f>
        <v>0</v>
      </c>
      <c r="F6" s="16">
        <f>Wallchart!F32</f>
        <v>0</v>
      </c>
      <c r="G6" s="16">
        <f>IF(ISBLANK(Wallchart!G32)=TRUE,0,IF(E6&lt;F6,0,IF(E6&gt;F6,3,1)))</f>
        <v>0</v>
      </c>
      <c r="H6" s="16">
        <f>IF(ISBLANK(Wallchart!F32)=TRUE,0,IF(F6&lt;E6,0,IF(F6&gt;E6,3,1)))</f>
        <v>0</v>
      </c>
      <c r="I6" s="16">
        <f>IF(ISBLANK(Wallchart!F32)=TRUE,0,IF(ISBLANK(Wallchart!G32)=TRUE,0,1))</f>
        <v>0</v>
      </c>
      <c r="J6" t="str">
        <f>D1</f>
        <v>USA</v>
      </c>
      <c r="K6">
        <f>F5</f>
        <v>0</v>
      </c>
      <c r="L6">
        <f>E8</f>
        <v>0</v>
      </c>
      <c r="M6">
        <v>0</v>
      </c>
      <c r="N6">
        <f>E4</f>
        <v>0</v>
      </c>
      <c r="P6">
        <f>IF(N28=N26,K6,0)</f>
        <v>0</v>
      </c>
      <c r="Q6">
        <f>IF(N28=N27,L6,0)</f>
        <v>0</v>
      </c>
      <c r="R6">
        <v>0</v>
      </c>
      <c r="S6">
        <f>IF(N28=N29,N6,0)</f>
        <v>0</v>
      </c>
      <c r="T6">
        <f>SUM(P6:S6)</f>
        <v>0</v>
      </c>
    </row>
    <row r="7" spans="1:20" x14ac:dyDescent="0.25">
      <c r="A7">
        <v>5</v>
      </c>
      <c r="B7" t="str">
        <f>E1</f>
        <v>Wales</v>
      </c>
      <c r="C7" t="s">
        <v>127</v>
      </c>
      <c r="D7" t="str">
        <f>B1</f>
        <v>England</v>
      </c>
      <c r="E7" s="16">
        <f>Wallchart!F50</f>
        <v>0</v>
      </c>
      <c r="F7" s="16">
        <f>Wallchart!G50</f>
        <v>0</v>
      </c>
      <c r="G7" s="16">
        <f>IF(ISBLANK(Wallchart!F50)=TRUE,0,IF(E7&lt;F7,0,IF(E7&gt;F7,3,1)))</f>
        <v>0</v>
      </c>
      <c r="H7" s="16">
        <f>IF(ISBLANK(Wallchart!G50)=TRUE,0,IF(F7&lt;E7,0,IF(F7&gt;E7,3,1)))</f>
        <v>0</v>
      </c>
      <c r="I7" s="16">
        <f>IF(ISBLANK(Wallchart!F50)=TRUE,0,IF(ISBLANK(Wallchart!G50)=TRUE,0,1))</f>
        <v>0</v>
      </c>
      <c r="J7" t="str">
        <f>E1</f>
        <v>Wales</v>
      </c>
      <c r="K7">
        <f>E7</f>
        <v>0</v>
      </c>
      <c r="L7">
        <f>F6</f>
        <v>0</v>
      </c>
      <c r="M7">
        <f>F4</f>
        <v>0</v>
      </c>
      <c r="N7">
        <v>0</v>
      </c>
      <c r="P7">
        <f>IF(N29=N26,K7,0)</f>
        <v>0</v>
      </c>
      <c r="Q7">
        <f>IF(N29=N27,L7,0)</f>
        <v>0</v>
      </c>
      <c r="R7">
        <f>IF(N29=N28,M7,0)</f>
        <v>0</v>
      </c>
      <c r="S7">
        <v>0</v>
      </c>
      <c r="T7">
        <f>SUM(P7:S7)</f>
        <v>0</v>
      </c>
    </row>
    <row r="8" spans="1:20" x14ac:dyDescent="0.25">
      <c r="A8">
        <v>6</v>
      </c>
      <c r="B8" t="str">
        <f>D1</f>
        <v>USA</v>
      </c>
      <c r="C8" t="s">
        <v>127</v>
      </c>
      <c r="D8" t="str">
        <f>C1</f>
        <v>Iran</v>
      </c>
      <c r="E8" s="16">
        <f>Wallchart!G51</f>
        <v>0</v>
      </c>
      <c r="F8" s="16">
        <f>Wallchart!F51</f>
        <v>0</v>
      </c>
      <c r="G8" s="16">
        <f>IF(ISBLANK(Wallchart!G51)=TRUE,0,IF(E8&lt;F8,0,IF(E8&gt;F8,3,1)))</f>
        <v>0</v>
      </c>
      <c r="H8" s="16">
        <f>IF(ISBLANK(Wallchart!F51)=TRUE,0,IF(F8&lt;E8,0,IF(F8&gt;E8,3,1)))</f>
        <v>0</v>
      </c>
      <c r="I8" s="16">
        <f>IF(ISBLANK(Wallchart!F51)=TRUE,0,IF(ISBLANK(Wallchart!G51)=TRUE,0,1))</f>
        <v>0</v>
      </c>
    </row>
    <row r="9" spans="1:20" x14ac:dyDescent="0.25">
      <c r="I9" s="21"/>
      <c r="K9" t="s">
        <v>140</v>
      </c>
    </row>
    <row r="10" spans="1:20" ht="15.75" thickBot="1" x14ac:dyDescent="0.3">
      <c r="K10" t="str">
        <f>B1</f>
        <v>England</v>
      </c>
      <c r="L10" t="str">
        <f>C1</f>
        <v>Iran</v>
      </c>
      <c r="M10" t="str">
        <f>D1</f>
        <v>USA</v>
      </c>
      <c r="N10" t="str">
        <f>E1</f>
        <v>Wales</v>
      </c>
      <c r="P10" s="5" t="str">
        <f>B1</f>
        <v>England</v>
      </c>
      <c r="Q10" s="5" t="str">
        <f>C1</f>
        <v>Iran</v>
      </c>
      <c r="R10" s="5" t="str">
        <f>D1</f>
        <v>USA</v>
      </c>
      <c r="S10" s="5" t="str">
        <f>E1</f>
        <v>Wales</v>
      </c>
      <c r="T10" s="5" t="s">
        <v>128</v>
      </c>
    </row>
    <row r="11" spans="1:20" x14ac:dyDescent="0.25">
      <c r="B11" s="9" t="s">
        <v>162</v>
      </c>
      <c r="C11" s="10" t="s">
        <v>161</v>
      </c>
      <c r="D11" s="11" t="s">
        <v>129</v>
      </c>
      <c r="E11" s="11" t="s">
        <v>123</v>
      </c>
      <c r="F11" s="11" t="s">
        <v>130</v>
      </c>
      <c r="G11" s="11" t="s">
        <v>131</v>
      </c>
      <c r="H11" s="11" t="s">
        <v>122</v>
      </c>
      <c r="I11" s="19" t="s">
        <v>164</v>
      </c>
      <c r="J11" t="str">
        <f>B1</f>
        <v>England</v>
      </c>
      <c r="K11">
        <v>0</v>
      </c>
      <c r="L11">
        <f>L4-K5</f>
        <v>0</v>
      </c>
      <c r="M11">
        <f>M4-K6</f>
        <v>0</v>
      </c>
      <c r="N11">
        <f>N4-K7</f>
        <v>0</v>
      </c>
      <c r="P11">
        <v>0</v>
      </c>
      <c r="Q11">
        <f>IF(L26=L27,L11,0)</f>
        <v>0</v>
      </c>
      <c r="R11">
        <f>IF(L26=L28,M11,0)</f>
        <v>0</v>
      </c>
      <c r="S11">
        <f>IF(L26=L29,N11,0)</f>
        <v>0</v>
      </c>
      <c r="T11">
        <f>SUM(P11:S11)</f>
        <v>0</v>
      </c>
    </row>
    <row r="12" spans="1:20" x14ac:dyDescent="0.25">
      <c r="B12" s="12">
        <v>1</v>
      </c>
      <c r="C12" s="13" t="str">
        <f>IF(S$26=1,A$26,IF(S$27=1,A$27,IF(S$28=1,A$28,A$29)))</f>
        <v>England</v>
      </c>
      <c r="D12" s="13">
        <f>IF(S$26=1,B$26,IF(S$27=1,B$27,IF(S$28=1,B$28,B$29)))</f>
        <v>0</v>
      </c>
      <c r="E12" s="13">
        <f>IF(S$26=1,C$26,IF(S$27=1,C$27,IF(S$28=1,C$28,C$29)))</f>
        <v>0</v>
      </c>
      <c r="F12" s="13">
        <f>IF(S$26=1,D$26,IF(S$27=1,D$27,IF(S$28=1,D$28,D$29)))</f>
        <v>0</v>
      </c>
      <c r="G12" s="13">
        <f>IF(S$26=1,E$26,IF(S$27=1,E$27,IF(S$28=1,E$28,E$29)))</f>
        <v>0</v>
      </c>
      <c r="H12" s="13">
        <f>IF(S$26=1,T$26,IF(S$27=1,T$27,IF(S$28=1,T$28,T$29)))</f>
        <v>0</v>
      </c>
      <c r="I12" s="17" t="str">
        <f>IF(Wallchart!S31="","a",Wallchart!S31)</f>
        <v>a</v>
      </c>
      <c r="J12" t="str">
        <f>C1</f>
        <v>Iran</v>
      </c>
      <c r="K12">
        <f>K5-L4</f>
        <v>0</v>
      </c>
      <c r="L12">
        <v>0</v>
      </c>
      <c r="M12">
        <f>M5-L6</f>
        <v>0</v>
      </c>
      <c r="N12">
        <f>N5-L7</f>
        <v>0</v>
      </c>
      <c r="P12">
        <f>IF(L27=L26,K12,0)</f>
        <v>0</v>
      </c>
      <c r="Q12">
        <v>0</v>
      </c>
      <c r="R12">
        <f>IF(L27=L28,M12,0)</f>
        <v>0</v>
      </c>
      <c r="S12">
        <f>IF(L27=L29,N12,0)</f>
        <v>0</v>
      </c>
      <c r="T12">
        <f>SUM(P12:S12)</f>
        <v>0</v>
      </c>
    </row>
    <row r="13" spans="1:20" x14ac:dyDescent="0.25">
      <c r="B13" s="12">
        <v>2</v>
      </c>
      <c r="C13" s="13" t="str">
        <f>IF(S$26=2,A$26,IF(S$27=2,A$27,IF(S$28=2,A$28,A$29)))</f>
        <v>Iran</v>
      </c>
      <c r="D13" s="13">
        <f>IF(S$26=2,B$26,IF(S$27=2,B$27,IF(S$28=2,B$28,B$29)))</f>
        <v>0</v>
      </c>
      <c r="E13" s="13">
        <f>IF(S$26=2,C$26,IF(S$27=2,C$27,IF(S$28=2,C$28,C$29)))</f>
        <v>0</v>
      </c>
      <c r="F13" s="13">
        <f>IF(S$26=2,D$26,IF(S$27=2,D$27,IF(S$28=2,D$28,D$29)))</f>
        <v>0</v>
      </c>
      <c r="G13" s="13">
        <f>IF(S$26=2,E$26,IF(S$27=2,E$27,IF(S$28=2,E$28,E$29)))</f>
        <v>0</v>
      </c>
      <c r="H13" s="13">
        <f>IF(S$26=2,T$26,IF(S$27=2,T$27,IF(S$28=2,T$28,T$29)))</f>
        <v>0</v>
      </c>
      <c r="I13" s="17" t="str">
        <f>IF(Wallchart!S32="","b",Wallchart!S32)</f>
        <v>b</v>
      </c>
      <c r="J13" t="str">
        <f>D1</f>
        <v>USA</v>
      </c>
      <c r="K13">
        <f>K6-M4</f>
        <v>0</v>
      </c>
      <c r="L13">
        <f>L6-M5</f>
        <v>0</v>
      </c>
      <c r="M13">
        <v>0</v>
      </c>
      <c r="N13">
        <f>N6-M7</f>
        <v>0</v>
      </c>
      <c r="P13">
        <f>IF(L28=L26,K13,0)</f>
        <v>0</v>
      </c>
      <c r="Q13">
        <f>IF(L28=L27,L13,0)</f>
        <v>0</v>
      </c>
      <c r="R13">
        <v>0</v>
      </c>
      <c r="S13">
        <f>IF(L28=L29,N13,0)</f>
        <v>0</v>
      </c>
      <c r="T13">
        <f>SUM(P13:S13)</f>
        <v>0</v>
      </c>
    </row>
    <row r="14" spans="1:20" x14ac:dyDescent="0.25">
      <c r="B14" s="12">
        <v>3</v>
      </c>
      <c r="C14" s="13" t="str">
        <f>IF(S$26=3,A$26,IF(S$27=3,A$27,IF(S$28=3,A$28,A$29)))</f>
        <v>USA</v>
      </c>
      <c r="D14" s="13">
        <f>IF(S$26=3,B$26,IF(S$27=3,B$27,IF(S$28=3,B$28,B$29)))</f>
        <v>0</v>
      </c>
      <c r="E14" s="13">
        <f>IF(S$26=3,C$26,IF(S$27=3,C$27,IF(S$28=3,C$28,C$29)))</f>
        <v>0</v>
      </c>
      <c r="F14" s="13">
        <f>IF(S$26=3,D$26,IF(S$27=3,D$27,IF(S$28=3,D$28,D$29)))</f>
        <v>0</v>
      </c>
      <c r="G14" s="13">
        <f>IF(S$26=3,E$26,IF(S$27=3,E$27,IF(S$28=3,E$28,E$29)))</f>
        <v>0</v>
      </c>
      <c r="H14" s="13">
        <f>IF(S$26=3,T$26,IF(S$27=3,T$27,IF(S$28=3,T$28,T$29)))</f>
        <v>0</v>
      </c>
      <c r="I14" s="17" t="str">
        <f>IF(Wallchart!S33="","c",Wallchart!S33)</f>
        <v>c</v>
      </c>
      <c r="J14" t="str">
        <f>E1</f>
        <v>Wales</v>
      </c>
      <c r="K14">
        <f>K7-N4</f>
        <v>0</v>
      </c>
      <c r="L14">
        <f>L7-N5</f>
        <v>0</v>
      </c>
      <c r="M14">
        <f>M7-N6</f>
        <v>0</v>
      </c>
      <c r="N14">
        <v>0</v>
      </c>
      <c r="P14">
        <f>IF(L29=L26,K14,0)</f>
        <v>0</v>
      </c>
      <c r="Q14">
        <f>IF(L29=L27,L14,0)</f>
        <v>0</v>
      </c>
      <c r="R14">
        <f>IF(L29=L28,M14,0)</f>
        <v>0</v>
      </c>
      <c r="S14">
        <v>0</v>
      </c>
      <c r="T14">
        <f>SUM(P14:S14)</f>
        <v>0</v>
      </c>
    </row>
    <row r="15" spans="1:20" ht="15.75" thickBot="1" x14ac:dyDescent="0.3">
      <c r="B15" s="14">
        <v>4</v>
      </c>
      <c r="C15" s="15" t="str">
        <f>IF(S$26=4,A$26,IF(S$27=4,A$27,IF(S$28=4,A$28,A$29)))</f>
        <v>Wales</v>
      </c>
      <c r="D15" s="15">
        <f>IF(S$26=4,B$26,IF(S$27=4,B$27,IF(S$28=4,B$28,B$29)))</f>
        <v>0</v>
      </c>
      <c r="E15" s="15">
        <f>IF(S$26=4,C$26,IF(S$27=4,C$27,IF(S$28=4,C$28,C$29)))</f>
        <v>0</v>
      </c>
      <c r="F15" s="15">
        <f>IF(S$26=4,D$26,IF(S$27=4,D$27,IF(S$28=4,D$28,D$29)))</f>
        <v>0</v>
      </c>
      <c r="G15" s="15">
        <f>IF(S$26=4,E$26,IF(S$27=4,E$27,IF(S$28=4,E$28,E$29)))</f>
        <v>0</v>
      </c>
      <c r="H15" s="15">
        <f>IF(S$26=4,T$26,IF(S$27=4,T$27,IF(S$28=4,T$28,T$29)))</f>
        <v>0</v>
      </c>
      <c r="I15" s="17" t="str">
        <f>IF(Wallchart!S34="","d",Wallchart!S34)</f>
        <v>d</v>
      </c>
    </row>
    <row r="16" spans="1:20" ht="15.75" thickBot="1" x14ac:dyDescent="0.3">
      <c r="I16" s="20" t="str">
        <f>IF(SUM(I3:I8)=6,IF(GrpB!W28&gt;0,IF(I12=I13,"Duplicate",IF(I12=I14,"Duplicate",IF(I12=I15,"Duplicate",IF(I13=I14,"Duplicate",IF(I13=I15,"Duplcate",IF(I14=I15,"Duplicate","")))))),""),"")</f>
        <v/>
      </c>
      <c r="K16" t="s">
        <v>141</v>
      </c>
    </row>
    <row r="17" spans="1:24" x14ac:dyDescent="0.25">
      <c r="K17" t="str">
        <f>B1</f>
        <v>England</v>
      </c>
      <c r="L17" t="str">
        <f>C1</f>
        <v>Iran</v>
      </c>
      <c r="M17" t="str">
        <f>D1</f>
        <v>USA</v>
      </c>
      <c r="N17" t="str">
        <f>E1</f>
        <v>Wales</v>
      </c>
      <c r="P17" s="5" t="str">
        <f>B1</f>
        <v>England</v>
      </c>
      <c r="Q17" s="5" t="str">
        <f>C1</f>
        <v>Iran</v>
      </c>
      <c r="R17" s="5" t="str">
        <f>D1</f>
        <v>USA</v>
      </c>
      <c r="S17" s="5" t="str">
        <f>E1</f>
        <v>Wales</v>
      </c>
      <c r="T17" s="5" t="s">
        <v>128</v>
      </c>
    </row>
    <row r="18" spans="1:24" x14ac:dyDescent="0.25">
      <c r="J18" t="str">
        <f>B1</f>
        <v>England</v>
      </c>
      <c r="K18">
        <v>0</v>
      </c>
      <c r="L18">
        <f>IF(L11&lt;0,0,IF(L11&gt;0,3,1))</f>
        <v>1</v>
      </c>
      <c r="M18">
        <f>IF(M11&lt;0,0,IF(M11&gt;0,3,1))</f>
        <v>1</v>
      </c>
      <c r="N18">
        <f>IF(N11&lt;0,0,IF(N11&gt;0,3,1))</f>
        <v>1</v>
      </c>
      <c r="P18">
        <v>0</v>
      </c>
      <c r="Q18">
        <f>IF(J26=J27,L18,0)</f>
        <v>1</v>
      </c>
      <c r="R18">
        <f>IF(J26=J28,M18,0)</f>
        <v>1</v>
      </c>
      <c r="S18">
        <f>IF(J26=J29,N18,0)</f>
        <v>1</v>
      </c>
      <c r="T18">
        <f>SUM(P18:S18)</f>
        <v>3</v>
      </c>
    </row>
    <row r="19" spans="1:24" x14ac:dyDescent="0.25">
      <c r="J19" t="str">
        <f>C1</f>
        <v>Iran</v>
      </c>
      <c r="K19">
        <f>IF(K12&lt;0,0,IF(K12&gt;0,3,1))</f>
        <v>1</v>
      </c>
      <c r="L19">
        <v>0</v>
      </c>
      <c r="M19">
        <f>IF(M12&lt;0,0,IF(M12&gt;0,3,1))</f>
        <v>1</v>
      </c>
      <c r="N19">
        <f>IF(N12&lt;0,0,IF(N12&gt;0,3,1))</f>
        <v>1</v>
      </c>
      <c r="P19">
        <f>IF(J27=J26,K19,0)</f>
        <v>1</v>
      </c>
      <c r="Q19">
        <v>0</v>
      </c>
      <c r="R19">
        <f>IF(J27=J28,M19,0)</f>
        <v>1</v>
      </c>
      <c r="S19">
        <f>IF(J27=J29,N19,0)</f>
        <v>1</v>
      </c>
      <c r="T19">
        <f>SUM(P19:S19)</f>
        <v>3</v>
      </c>
    </row>
    <row r="20" spans="1:24" x14ac:dyDescent="0.25">
      <c r="J20" t="str">
        <f>D1</f>
        <v>USA</v>
      </c>
      <c r="K20">
        <f>IF(K13&lt;0,0,IF(K13&gt;0,3,1))</f>
        <v>1</v>
      </c>
      <c r="L20">
        <f>IF(L13&lt;0,0,IF(L13&gt;0,3,1))</f>
        <v>1</v>
      </c>
      <c r="M20">
        <v>0</v>
      </c>
      <c r="N20">
        <f>IF(N13&lt;0,0,IF(N13&gt;0,3,1))</f>
        <v>1</v>
      </c>
      <c r="P20">
        <f>IF(J28=J26,K20,0)</f>
        <v>1</v>
      </c>
      <c r="Q20">
        <f>IF(J28=J27,L20,0)</f>
        <v>1</v>
      </c>
      <c r="R20">
        <v>0</v>
      </c>
      <c r="S20">
        <f>IF(J28=J29,N20,0)</f>
        <v>1</v>
      </c>
      <c r="T20">
        <f>SUM(P20:S20)</f>
        <v>3</v>
      </c>
    </row>
    <row r="21" spans="1:24" x14ac:dyDescent="0.25">
      <c r="J21" t="str">
        <f>E1</f>
        <v>Wales</v>
      </c>
      <c r="K21">
        <f>IF(K14&lt;0,0,IF(K14&gt;0,3,1))</f>
        <v>1</v>
      </c>
      <c r="L21">
        <f>IF(L14&lt;0,0,IF(L14&gt;0,3,1))</f>
        <v>1</v>
      </c>
      <c r="M21">
        <f>IF(M14&lt;0,0,IF(M14&gt;0,3,1))</f>
        <v>1</v>
      </c>
      <c r="N21">
        <v>0</v>
      </c>
      <c r="P21">
        <f>IF(J29=J26,K21,0)</f>
        <v>1</v>
      </c>
      <c r="Q21">
        <f>IF(J29=J27,L21,0)</f>
        <v>1</v>
      </c>
      <c r="R21">
        <f>IF(J29=J28,M21,0)</f>
        <v>1</v>
      </c>
      <c r="S21">
        <v>0</v>
      </c>
      <c r="T21">
        <f>SUM(P21:S21)</f>
        <v>3</v>
      </c>
    </row>
    <row r="23" spans="1:24" x14ac:dyDescent="0.25">
      <c r="A23" t="s">
        <v>32</v>
      </c>
      <c r="B23" t="s">
        <v>31</v>
      </c>
      <c r="C23" t="s">
        <v>33</v>
      </c>
      <c r="D23" t="s">
        <v>34</v>
      </c>
      <c r="E23" t="s">
        <v>35</v>
      </c>
      <c r="F23" t="s">
        <v>36</v>
      </c>
      <c r="G23" t="s">
        <v>37</v>
      </c>
      <c r="H23" t="s">
        <v>38</v>
      </c>
      <c r="I23" t="s">
        <v>143</v>
      </c>
      <c r="J23" t="s">
        <v>144</v>
      </c>
      <c r="K23" t="s">
        <v>145</v>
      </c>
      <c r="L23" t="s">
        <v>146</v>
      </c>
      <c r="M23" t="s">
        <v>147</v>
      </c>
      <c r="N23" t="s">
        <v>148</v>
      </c>
      <c r="O23" t="s">
        <v>149</v>
      </c>
      <c r="P23" t="s">
        <v>150</v>
      </c>
      <c r="Q23" t="s">
        <v>151</v>
      </c>
      <c r="R23" t="s">
        <v>152</v>
      </c>
      <c r="S23" t="s">
        <v>153</v>
      </c>
      <c r="T23" t="s">
        <v>154</v>
      </c>
    </row>
    <row r="24" spans="1:24" x14ac:dyDescent="0.25">
      <c r="F24" s="8" t="s">
        <v>122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189.75" x14ac:dyDescent="0.25">
      <c r="A25" s="7" t="s">
        <v>161</v>
      </c>
      <c r="B25" t="s">
        <v>129</v>
      </c>
      <c r="C25" t="s">
        <v>123</v>
      </c>
      <c r="D25" t="s">
        <v>130</v>
      </c>
      <c r="E25" t="s">
        <v>131</v>
      </c>
      <c r="F25" s="6" t="s">
        <v>132</v>
      </c>
      <c r="G25" s="7" t="s">
        <v>133</v>
      </c>
      <c r="H25" s="7" t="s">
        <v>155</v>
      </c>
      <c r="I25" s="7" t="s">
        <v>134</v>
      </c>
      <c r="J25" s="7" t="s">
        <v>156</v>
      </c>
      <c r="K25" s="7" t="s">
        <v>135</v>
      </c>
      <c r="L25" s="7" t="s">
        <v>157</v>
      </c>
      <c r="M25" s="7" t="s">
        <v>136</v>
      </c>
      <c r="N25" s="7" t="s">
        <v>158</v>
      </c>
      <c r="O25" s="7" t="s">
        <v>138</v>
      </c>
      <c r="P25" s="7" t="s">
        <v>159</v>
      </c>
      <c r="Q25" s="7" t="s">
        <v>137</v>
      </c>
      <c r="R25" s="7" t="s">
        <v>160</v>
      </c>
      <c r="S25" s="7" t="s">
        <v>163</v>
      </c>
      <c r="T25" s="7" t="s">
        <v>142</v>
      </c>
      <c r="U25" s="7" t="s">
        <v>172</v>
      </c>
      <c r="V25" s="7" t="s">
        <v>173</v>
      </c>
      <c r="W25" s="7" t="s">
        <v>171</v>
      </c>
    </row>
    <row r="26" spans="1:24" x14ac:dyDescent="0.25">
      <c r="A26" t="str">
        <f>B1</f>
        <v>England</v>
      </c>
      <c r="B26">
        <f>I3+I5+I7</f>
        <v>0</v>
      </c>
      <c r="C26">
        <f>E3+E5+F7</f>
        <v>0</v>
      </c>
      <c r="D26">
        <f>F3+F5+E7</f>
        <v>0</v>
      </c>
      <c r="E26">
        <f>C26-D26</f>
        <v>0</v>
      </c>
      <c r="F26">
        <f>G3+G5+H7</f>
        <v>0</v>
      </c>
      <c r="G26">
        <f>E26/100</f>
        <v>0</v>
      </c>
      <c r="H26">
        <f>F26+G26</f>
        <v>0</v>
      </c>
      <c r="I26">
        <f>C26/10000</f>
        <v>0</v>
      </c>
      <c r="J26">
        <f>H26+I26</f>
        <v>0</v>
      </c>
      <c r="K26">
        <f>T18/100000</f>
        <v>3.0000000000000001E-5</v>
      </c>
      <c r="L26">
        <f>J26+K26</f>
        <v>3.0000000000000001E-5</v>
      </c>
      <c r="M26">
        <f>T11/1000000</f>
        <v>0</v>
      </c>
      <c r="N26">
        <f>L26+M26</f>
        <v>3.0000000000000001E-5</v>
      </c>
      <c r="O26">
        <f>T4/10000000</f>
        <v>0</v>
      </c>
      <c r="P26">
        <f>N26+O26</f>
        <v>3.0000000000000001E-5</v>
      </c>
      <c r="Q26" s="18">
        <f>IF(W28&gt;0,IF(A26=GrpB!I12,0.00000004,IF(A26=GrpB!I13,0.00000003,IF(A26=GrpB!I14,0.00000002,0.00000001))),0)</f>
        <v>0</v>
      </c>
      <c r="R26">
        <f>Q26+P26+0.000000004</f>
        <v>3.0003999999999999E-5</v>
      </c>
      <c r="S26">
        <f>RANK(R26,R$26:R$29)</f>
        <v>1</v>
      </c>
      <c r="T26">
        <f>ROUND(R26,0)</f>
        <v>0</v>
      </c>
      <c r="U26">
        <f>P26</f>
        <v>3.0000000000000001E-5</v>
      </c>
      <c r="V26">
        <f>RANK(P26,U$26:U$29)</f>
        <v>1</v>
      </c>
      <c r="W26">
        <f>COUNTIF(V26:V29,1)-1</f>
        <v>3</v>
      </c>
      <c r="X26" t="str">
        <f>IF(W$28&gt;0,A26,"")</f>
        <v/>
      </c>
    </row>
    <row r="27" spans="1:24" x14ac:dyDescent="0.25">
      <c r="A27" t="str">
        <f>C1</f>
        <v>Iran</v>
      </c>
      <c r="B27">
        <f>I3+I6+I8</f>
        <v>0</v>
      </c>
      <c r="C27">
        <f>F3+E6+F8</f>
        <v>0</v>
      </c>
      <c r="D27">
        <f>E3+F6+E8</f>
        <v>0</v>
      </c>
      <c r="E27">
        <f>C27-D27</f>
        <v>0</v>
      </c>
      <c r="F27">
        <f>H3+G6+H8</f>
        <v>0</v>
      </c>
      <c r="G27">
        <f>E27/100</f>
        <v>0</v>
      </c>
      <c r="H27">
        <f>F27+G27</f>
        <v>0</v>
      </c>
      <c r="I27">
        <f>C27/10000</f>
        <v>0</v>
      </c>
      <c r="J27">
        <f>H27+I27</f>
        <v>0</v>
      </c>
      <c r="K27">
        <f>T19/100000</f>
        <v>3.0000000000000001E-5</v>
      </c>
      <c r="L27">
        <f>J27+K27</f>
        <v>3.0000000000000001E-5</v>
      </c>
      <c r="M27">
        <f>T12/1000000</f>
        <v>0</v>
      </c>
      <c r="N27">
        <f>L27+M27</f>
        <v>3.0000000000000001E-5</v>
      </c>
      <c r="O27">
        <f>T5/10000000</f>
        <v>0</v>
      </c>
      <c r="P27">
        <f>N27+O27</f>
        <v>3.0000000000000001E-5</v>
      </c>
      <c r="Q27" s="18">
        <f>IF(W28&gt;0,IF(A27=GrpB!I12,0.00000004,IF(A27=GrpB!I13,0.00000003,IF(A27=GrpB!I14,0.00000002,0.00000001))),0)</f>
        <v>0</v>
      </c>
      <c r="R27">
        <f>Q27+P27+0.000000003</f>
        <v>3.0003000000000001E-5</v>
      </c>
      <c r="S27">
        <f>RANK(R27,R$26:R$29)</f>
        <v>2</v>
      </c>
      <c r="T27">
        <f>ROUND(R27,0)</f>
        <v>0</v>
      </c>
      <c r="U27">
        <f>P27</f>
        <v>3.0000000000000001E-5</v>
      </c>
      <c r="V27">
        <f>RANK(U27,U$26:U$29)</f>
        <v>1</v>
      </c>
      <c r="W27">
        <f>MAX(0,COUNTIF(V26:V29,2)-1)</f>
        <v>0</v>
      </c>
      <c r="X27" t="str">
        <f>IF(W$28&gt;0,A27,"")</f>
        <v/>
      </c>
    </row>
    <row r="28" spans="1:24" x14ac:dyDescent="0.25">
      <c r="A28" t="str">
        <f>D1</f>
        <v>USA</v>
      </c>
      <c r="B28">
        <f>I4+I5+I8</f>
        <v>0</v>
      </c>
      <c r="C28">
        <f>E4+F5+E8</f>
        <v>0</v>
      </c>
      <c r="D28">
        <f>F4+E5+F8</f>
        <v>0</v>
      </c>
      <c r="E28">
        <f>C28-D28</f>
        <v>0</v>
      </c>
      <c r="F28">
        <f>G4+H5+G8</f>
        <v>0</v>
      </c>
      <c r="G28">
        <f>E28/100</f>
        <v>0</v>
      </c>
      <c r="H28">
        <f>F28+G28</f>
        <v>0</v>
      </c>
      <c r="I28">
        <f>C28/10000</f>
        <v>0</v>
      </c>
      <c r="J28">
        <f>H28+I28</f>
        <v>0</v>
      </c>
      <c r="K28">
        <f>T20/100000</f>
        <v>3.0000000000000001E-5</v>
      </c>
      <c r="L28">
        <f>J28+K28</f>
        <v>3.0000000000000001E-5</v>
      </c>
      <c r="M28">
        <f>T13/1000000</f>
        <v>0</v>
      </c>
      <c r="N28">
        <f>L28+M28</f>
        <v>3.0000000000000001E-5</v>
      </c>
      <c r="O28">
        <f>T6/10000000</f>
        <v>0</v>
      </c>
      <c r="P28">
        <f>N28+O28</f>
        <v>3.0000000000000001E-5</v>
      </c>
      <c r="Q28" s="18">
        <f>IF(W28&gt;0,IF(A28=GrpB!I12,0.00000004,IF(A28=GrpB!I13,0.00000003,IF(A28=GrpB!I14,0.00000002,0.00000001))),0)</f>
        <v>0</v>
      </c>
      <c r="R28">
        <f>Q28+P28+0.000000002</f>
        <v>3.0002000000000002E-5</v>
      </c>
      <c r="S28">
        <f>RANK(R28,R$26:R$29)</f>
        <v>3</v>
      </c>
      <c r="T28">
        <f>ROUND(R28,0)</f>
        <v>0</v>
      </c>
      <c r="U28">
        <f>P28</f>
        <v>3.0000000000000001E-5</v>
      </c>
      <c r="V28">
        <f>RANK(U28,U$26:U$29)</f>
        <v>1</v>
      </c>
      <c r="W28">
        <f>IF(SUM(I3:I8)=6,SUM(W26:W27),0)</f>
        <v>0</v>
      </c>
      <c r="X28" t="str">
        <f>IF(W$28&gt;0,A28,"")</f>
        <v/>
      </c>
    </row>
    <row r="29" spans="1:24" x14ac:dyDescent="0.25">
      <c r="A29" t="str">
        <f>E1</f>
        <v>Wales</v>
      </c>
      <c r="B29">
        <f>I4+I6+I7</f>
        <v>0</v>
      </c>
      <c r="C29">
        <f>F4+F6+E7</f>
        <v>0</v>
      </c>
      <c r="D29">
        <f>E4+E6+F7</f>
        <v>0</v>
      </c>
      <c r="E29">
        <f>C29-D29</f>
        <v>0</v>
      </c>
      <c r="F29">
        <f>H4+H6+G7</f>
        <v>0</v>
      </c>
      <c r="G29">
        <f>E29/100</f>
        <v>0</v>
      </c>
      <c r="H29">
        <f>F29+G29</f>
        <v>0</v>
      </c>
      <c r="I29">
        <f>C29/10000</f>
        <v>0</v>
      </c>
      <c r="J29">
        <f>H29+I29</f>
        <v>0</v>
      </c>
      <c r="K29">
        <f>T21/100000</f>
        <v>3.0000000000000001E-5</v>
      </c>
      <c r="L29">
        <f>J29+K29</f>
        <v>3.0000000000000001E-5</v>
      </c>
      <c r="M29">
        <f>T14/1000000</f>
        <v>0</v>
      </c>
      <c r="N29">
        <f>L29+M29</f>
        <v>3.0000000000000001E-5</v>
      </c>
      <c r="O29">
        <f>T7/10000000</f>
        <v>0</v>
      </c>
      <c r="P29">
        <f>N29+O29</f>
        <v>3.0000000000000001E-5</v>
      </c>
      <c r="Q29" s="18">
        <f>IF(W28&gt;0,IF(A29=GrpB!I12,0.00000004,IF(A29=GrpB!I13,0.00000003,IF(A29=GrpB!I14,0.00000002,0.00000001))),0)</f>
        <v>0</v>
      </c>
      <c r="R29">
        <f>Q29+P29+0.000000001</f>
        <v>3.0001E-5</v>
      </c>
      <c r="S29">
        <f>RANK(R29,R$26:R$29)</f>
        <v>4</v>
      </c>
      <c r="T29">
        <f>ROUND(R29,0)</f>
        <v>0</v>
      </c>
      <c r="U29">
        <f>P29</f>
        <v>3.0000000000000001E-5</v>
      </c>
      <c r="V29">
        <f>RANK(U29,U$26:U$29)</f>
        <v>1</v>
      </c>
      <c r="X29" t="str">
        <f>IF(W$28&gt;0,A29,"")</f>
        <v/>
      </c>
    </row>
    <row r="31" spans="1:24" x14ac:dyDescent="0.25">
      <c r="A31" t="str">
        <f t="shared" ref="A31:E31" si="0">A23</f>
        <v>A</v>
      </c>
      <c r="B31" t="str">
        <f t="shared" si="0"/>
        <v>B</v>
      </c>
      <c r="C31" t="str">
        <f t="shared" si="0"/>
        <v>C</v>
      </c>
      <c r="D31" t="str">
        <f t="shared" si="0"/>
        <v>D</v>
      </c>
      <c r="E31" t="str">
        <f t="shared" si="0"/>
        <v>E</v>
      </c>
      <c r="F31" t="str">
        <f>F23</f>
        <v>F</v>
      </c>
      <c r="G31" t="str">
        <f t="shared" ref="G31:T31" si="1">G23</f>
        <v>G</v>
      </c>
      <c r="H31" t="str">
        <f t="shared" si="1"/>
        <v>H</v>
      </c>
      <c r="I31" t="str">
        <f t="shared" si="1"/>
        <v>I</v>
      </c>
      <c r="J31" t="str">
        <f t="shared" si="1"/>
        <v>J</v>
      </c>
      <c r="K31" t="str">
        <f t="shared" si="1"/>
        <v>K</v>
      </c>
      <c r="L31" t="str">
        <f t="shared" si="1"/>
        <v>L</v>
      </c>
      <c r="M31" t="str">
        <f t="shared" si="1"/>
        <v>M</v>
      </c>
      <c r="N31" t="str">
        <f t="shared" si="1"/>
        <v>N</v>
      </c>
      <c r="O31" t="str">
        <f t="shared" si="1"/>
        <v>O</v>
      </c>
      <c r="P31" t="str">
        <f t="shared" si="1"/>
        <v>P</v>
      </c>
      <c r="Q31" t="str">
        <f t="shared" si="1"/>
        <v>Q</v>
      </c>
      <c r="R31" t="str">
        <f t="shared" si="1"/>
        <v>R</v>
      </c>
      <c r="S31" t="str">
        <f t="shared" si="1"/>
        <v>S</v>
      </c>
      <c r="T31" t="str">
        <f t="shared" si="1"/>
        <v>T</v>
      </c>
    </row>
  </sheetData>
  <mergeCells count="1">
    <mergeCell ref="K2:N2"/>
  </mergeCells>
  <dataValidations count="1">
    <dataValidation allowBlank="1" showErrorMessage="1" prompt="Used for Fifa lots if requried" sqref="I12:I15" xr:uid="{00000000-0002-0000-06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Wallchart</vt:lpstr>
      <vt:lpstr>List of countries by language</vt:lpstr>
      <vt:lpstr>GrpH</vt:lpstr>
      <vt:lpstr>GrpG</vt:lpstr>
      <vt:lpstr>GrpF</vt:lpstr>
      <vt:lpstr>GrpE</vt:lpstr>
      <vt:lpstr>GrpD</vt:lpstr>
      <vt:lpstr>GrpC</vt:lpstr>
      <vt:lpstr>GrpB</vt:lpstr>
      <vt:lpstr>GrpA</vt:lpstr>
      <vt:lpstr>League Format</vt:lpstr>
      <vt:lpstr>Match data</vt:lpstr>
      <vt:lpstr>twitter</vt:lpstr>
      <vt:lpstr>languages</vt:lpstr>
      <vt:lpstr>Comp</vt:lpstr>
      <vt:lpstr>Config</vt:lpstr>
      <vt:lpstr>languages!Country_Language</vt:lpstr>
      <vt:lpstr>languages!header_language</vt:lpstr>
      <vt:lpstr>'List of countries by language'!header_language</vt:lpstr>
      <vt:lpstr>languages!language_table</vt:lpstr>
      <vt:lpstr>'List of countries by language'!language_table</vt:lpstr>
      <vt:lpstr>Wallchart!Print_Area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2017-05-31T11:02:17Z</dcterms:created>
  <dcterms:modified xsi:type="dcterms:W3CDTF">2022-11-17T16:07:04Z</dcterms:modified>
</cp:coreProperties>
</file>